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0300jy\Desktop\"/>
    </mc:Choice>
  </mc:AlternateContent>
  <xr:revisionPtr revIDLastSave="0" documentId="8_{29CB9E14-72D3-42EE-953B-B908E873193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R o BR 2022" sheetId="10" r:id="rId1"/>
    <sheet name="NOTER 2022" sheetId="11" r:id="rId2"/>
    <sheet name="Spec BR 2022" sheetId="12" r:id="rId3"/>
    <sheet name="Budget 2023" sheetId="13" r:id="rId4"/>
    <sheet name="RR o BR 2017" sheetId="8" state="hidden" r:id="rId5"/>
    <sheet name="NOTER 2017" sheetId="9" state="hidden" r:id="rId6"/>
    <sheet name="RR o BR 2016" sheetId="6" state="hidden" r:id="rId7"/>
    <sheet name="NOTER 2016" sheetId="7" state="hidden" r:id="rId8"/>
    <sheet name="RR o BR 2015" sheetId="4" state="hidden" r:id="rId9"/>
    <sheet name="NOTER 2015" sheetId="5" state="hidden" r:id="rId10"/>
    <sheet name="RR o BR 2014" sheetId="1" state="hidden" r:id="rId11"/>
    <sheet name="NOTER 2014" sheetId="2" state="hidden" r:id="rId12"/>
    <sheet name="Ver Avskrivning byggnad" sheetId="3" r:id="rId13"/>
    <sheet name="Ver Avskrivning inventarier" sheetId="14" r:id="rId14"/>
    <sheet name="Ombo resultat" sheetId="15" r:id="rId15"/>
  </sheets>
  <externalReferences>
    <externalReference r:id="rId16"/>
  </externalReferences>
  <definedNames>
    <definedName name="_xlnm.Print_Area" localSheetId="8">'RR o BR 2015'!$A$1:$M$45</definedName>
    <definedName name="_xlnm.Print_Area" localSheetId="6">'RR o BR 2016'!$A$1:$M$45</definedName>
    <definedName name="_xlnm.Print_Area" localSheetId="4">'RR o BR 2017'!$A$1:$Q$45</definedName>
    <definedName name="_xlnm.Print_Area" localSheetId="0">'RR o BR 2022'!$A$1:$AI$47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0" i="13" l="1"/>
  <c r="V33" i="13"/>
  <c r="V24" i="13"/>
  <c r="V26" i="13" s="1"/>
  <c r="X40" i="13"/>
  <c r="X33" i="13"/>
  <c r="X24" i="13"/>
  <c r="X26" i="13" s="1"/>
  <c r="X35" i="13" s="1"/>
  <c r="AB40" i="13"/>
  <c r="AB33" i="13"/>
  <c r="AB24" i="13"/>
  <c r="AB26" i="13" s="1"/>
  <c r="AB35" i="13" s="1"/>
  <c r="F55" i="12"/>
  <c r="F57" i="12" s="1"/>
  <c r="F31" i="11"/>
  <c r="F35" i="11" s="1"/>
  <c r="F15" i="12"/>
  <c r="F16" i="11"/>
  <c r="T29" i="10"/>
  <c r="T31" i="10" s="1"/>
  <c r="T36" i="10"/>
  <c r="T10" i="10"/>
  <c r="T8" i="10"/>
  <c r="B21" i="10"/>
  <c r="B15" i="10"/>
  <c r="B26" i="10" s="1"/>
  <c r="B28" i="10" s="1"/>
  <c r="T37" i="10"/>
  <c r="T16" i="10"/>
  <c r="T11" i="10"/>
  <c r="V8" i="10"/>
  <c r="V11" i="10"/>
  <c r="V18" i="10" s="1"/>
  <c r="V16" i="10"/>
  <c r="V36" i="10"/>
  <c r="V37" i="10"/>
  <c r="B40" i="10"/>
  <c r="B35" i="10"/>
  <c r="F11" i="12"/>
  <c r="F47" i="12"/>
  <c r="F50" i="12" s="1"/>
  <c r="F25" i="12"/>
  <c r="F16" i="12"/>
  <c r="F27" i="12"/>
  <c r="F42" i="12"/>
  <c r="F33" i="12"/>
  <c r="F22" i="12"/>
  <c r="F9" i="12"/>
  <c r="G9" i="12"/>
  <c r="G15" i="12"/>
  <c r="G16" i="12"/>
  <c r="G17" i="12"/>
  <c r="G22" i="12"/>
  <c r="G25" i="12"/>
  <c r="G26" i="12"/>
  <c r="F26" i="12" s="1"/>
  <c r="F28" i="12" s="1"/>
  <c r="G27" i="12"/>
  <c r="G33" i="12"/>
  <c r="G42" i="12"/>
  <c r="G47" i="12"/>
  <c r="G50" i="12" s="1"/>
  <c r="G55" i="12"/>
  <c r="G57" i="12"/>
  <c r="I10" i="14"/>
  <c r="I9" i="14"/>
  <c r="G19" i="3"/>
  <c r="G18" i="3"/>
  <c r="F26" i="11"/>
  <c r="F21" i="11"/>
  <c r="F17" i="11"/>
  <c r="F18" i="11"/>
  <c r="X44" i="13" l="1"/>
  <c r="V35" i="13"/>
  <c r="V44" i="13"/>
  <c r="AB44" i="13"/>
  <c r="G28" i="12"/>
  <c r="T18" i="10"/>
  <c r="T41" i="10"/>
  <c r="T39" i="10"/>
  <c r="B44" i="10"/>
  <c r="F17" i="12"/>
  <c r="G20" i="3"/>
  <c r="T43" i="10" l="1"/>
  <c r="Z13" i="13"/>
  <c r="G31" i="11"/>
  <c r="G32" i="11"/>
  <c r="H10" i="14"/>
  <c r="K10" i="14"/>
  <c r="J9" i="14"/>
  <c r="J14" i="14" s="1"/>
  <c r="K9" i="14"/>
  <c r="K11" i="14"/>
  <c r="H19" i="3"/>
  <c r="H18" i="3"/>
  <c r="H20" i="3" s="1"/>
  <c r="I18" i="3"/>
  <c r="I14" i="14" l="1"/>
  <c r="K14" i="14"/>
  <c r="AL35" i="13"/>
  <c r="AJ35" i="13"/>
  <c r="AH35" i="13"/>
  <c r="AF35" i="13"/>
  <c r="AD35" i="13"/>
  <c r="AL26" i="13"/>
  <c r="AJ26" i="13"/>
  <c r="AH26" i="13"/>
  <c r="AF26" i="13"/>
  <c r="AD26" i="13"/>
  <c r="D5" i="14"/>
  <c r="D14" i="14"/>
  <c r="G10" i="14"/>
  <c r="G9" i="14"/>
  <c r="H9" i="14" s="1"/>
  <c r="H14" i="14" s="1"/>
  <c r="G26" i="11"/>
  <c r="V33" i="11"/>
  <c r="R33" i="11"/>
  <c r="G17" i="11"/>
  <c r="H17" i="11"/>
  <c r="C15" i="10"/>
  <c r="U29" i="11" l="1"/>
  <c r="V29" i="11" s="1"/>
  <c r="G35" i="11"/>
  <c r="G30" i="11"/>
  <c r="G25" i="11"/>
  <c r="G21" i="11"/>
  <c r="G16" i="11"/>
  <c r="G18" i="11" s="1"/>
  <c r="C40" i="10"/>
  <c r="C35" i="10"/>
  <c r="C26" i="10"/>
  <c r="C28" i="10" s="1"/>
  <c r="Z40" i="13"/>
  <c r="Z33" i="13"/>
  <c r="Z24" i="13"/>
  <c r="Z26" i="13" s="1"/>
  <c r="T40" i="13"/>
  <c r="T33" i="13"/>
  <c r="T24" i="13"/>
  <c r="G27" i="11" l="1"/>
  <c r="F25" i="11"/>
  <c r="F27" i="11" s="1"/>
  <c r="T26" i="13"/>
  <c r="T35" i="13" s="1"/>
  <c r="T44" i="13"/>
  <c r="Z35" i="13"/>
  <c r="Z44" i="13"/>
  <c r="C44" i="10"/>
  <c r="T25" i="3"/>
  <c r="T24" i="3"/>
  <c r="T23" i="3"/>
  <c r="M23" i="3"/>
  <c r="L23" i="3"/>
  <c r="K23" i="3"/>
  <c r="J23" i="3"/>
  <c r="T21" i="3"/>
  <c r="S18" i="3" s="1"/>
  <c r="N20" i="3"/>
  <c r="M18" i="3"/>
  <c r="C9" i="3"/>
  <c r="K19" i="3" l="1"/>
  <c r="D5" i="3"/>
  <c r="L19" i="3"/>
  <c r="I19" i="3"/>
  <c r="M19" i="3"/>
  <c r="L18" i="3" s="1"/>
  <c r="J19" i="3"/>
  <c r="J28" i="12"/>
  <c r="I28" i="12"/>
  <c r="U8" i="12"/>
  <c r="T8" i="12"/>
  <c r="T7" i="12"/>
  <c r="L20" i="3" l="1"/>
  <c r="K18" i="3"/>
  <c r="M20" i="3"/>
  <c r="AD39" i="13"/>
  <c r="AD40" i="13" s="1"/>
  <c r="AD16" i="13"/>
  <c r="AD15" i="13"/>
  <c r="AD13" i="13"/>
  <c r="H28" i="12"/>
  <c r="U9" i="11"/>
  <c r="U28" i="11"/>
  <c r="V28" i="11" s="1"/>
  <c r="H27" i="11"/>
  <c r="X10" i="10"/>
  <c r="J18" i="3" l="1"/>
  <c r="K20" i="3"/>
  <c r="H30" i="11"/>
  <c r="X36" i="10"/>
  <c r="X8" i="10"/>
  <c r="X11" i="10" s="1"/>
  <c r="E40" i="10"/>
  <c r="E17" i="10"/>
  <c r="E18" i="10"/>
  <c r="E15" i="10"/>
  <c r="H31" i="11"/>
  <c r="E35" i="10"/>
  <c r="J20" i="3" l="1"/>
  <c r="I20" i="3"/>
  <c r="E26" i="10"/>
  <c r="AD24" i="13"/>
  <c r="AD33" i="13"/>
  <c r="H50" i="12"/>
  <c r="H42" i="12"/>
  <c r="H33" i="12"/>
  <c r="H22" i="12"/>
  <c r="H9" i="12"/>
  <c r="H35" i="11"/>
  <c r="H21" i="11"/>
  <c r="X37" i="10"/>
  <c r="X16" i="10"/>
  <c r="X18" i="10" s="1"/>
  <c r="E44" i="10" l="1"/>
  <c r="E28" i="10"/>
  <c r="AD44" i="13"/>
  <c r="AF13" i="13"/>
  <c r="G15" i="10"/>
  <c r="Z8" i="10"/>
  <c r="I55" i="12"/>
  <c r="H55" i="12" s="1"/>
  <c r="H57" i="12" l="1"/>
  <c r="AF40" i="13"/>
  <c r="AF33" i="13"/>
  <c r="AF24" i="13"/>
  <c r="I57" i="12"/>
  <c r="I50" i="12"/>
  <c r="I42" i="12"/>
  <c r="I33" i="12"/>
  <c r="I22" i="12"/>
  <c r="I9" i="12"/>
  <c r="I35" i="11"/>
  <c r="I21" i="11"/>
  <c r="Z37" i="10"/>
  <c r="Z16" i="10"/>
  <c r="Z11" i="10"/>
  <c r="Z18" i="10" s="1"/>
  <c r="G40" i="10"/>
  <c r="G35" i="10"/>
  <c r="G26" i="10"/>
  <c r="G28" i="10" s="1"/>
  <c r="G44" i="10" l="1"/>
  <c r="AF44" i="13"/>
  <c r="AP41" i="13"/>
  <c r="AP45" i="13" s="1"/>
  <c r="AN41" i="13"/>
  <c r="AP36" i="13"/>
  <c r="AN36" i="13"/>
  <c r="AP28" i="13"/>
  <c r="AN24" i="13"/>
  <c r="AN28" i="13" s="1"/>
  <c r="AP8" i="13"/>
  <c r="AL40" i="13"/>
  <c r="AL33" i="13"/>
  <c r="AL22" i="13"/>
  <c r="AL20" i="13"/>
  <c r="AL24" i="13" s="1"/>
  <c r="AL44" i="13" l="1"/>
  <c r="AN45" i="13"/>
  <c r="AJ40" i="13"/>
  <c r="AH40" i="13"/>
  <c r="AJ33" i="13"/>
  <c r="AH33" i="13"/>
  <c r="AJ13" i="13"/>
  <c r="AJ24" i="13" s="1"/>
  <c r="AH13" i="13"/>
  <c r="AH24" i="13" s="1"/>
  <c r="B13" i="13"/>
  <c r="C15" i="13"/>
  <c r="A18" i="13"/>
  <c r="B18" i="13"/>
  <c r="B42" i="13"/>
  <c r="B47" i="13" s="1"/>
  <c r="C42" i="13"/>
  <c r="C47" i="13" s="1"/>
  <c r="A47" i="13"/>
  <c r="I46" i="13"/>
  <c r="I45" i="13"/>
  <c r="I44" i="13"/>
  <c r="I38" i="13"/>
  <c r="P17" i="13"/>
  <c r="P16" i="13"/>
  <c r="P15" i="13"/>
  <c r="P14" i="13"/>
  <c r="M7" i="13" s="1"/>
  <c r="G13" i="13"/>
  <c r="K7" i="13"/>
  <c r="J7" i="13"/>
  <c r="J6" i="13"/>
  <c r="O7" i="13" l="1"/>
  <c r="AH44" i="13"/>
  <c r="AJ44" i="13"/>
  <c r="H13" i="13"/>
  <c r="A14" i="13" s="1"/>
  <c r="F13" i="13"/>
  <c r="N7" i="13"/>
  <c r="J57" i="12"/>
  <c r="J33" i="12"/>
  <c r="J50" i="12"/>
  <c r="J42" i="12"/>
  <c r="J22" i="12"/>
  <c r="L15" i="12"/>
  <c r="Z16" i="12"/>
  <c r="M17" i="12"/>
  <c r="Z17" i="12"/>
  <c r="Z18" i="12"/>
  <c r="Z19" i="12"/>
  <c r="K20" i="12"/>
  <c r="L20" i="12"/>
  <c r="S42" i="12"/>
  <c r="L45" i="12"/>
  <c r="L50" i="12" s="1"/>
  <c r="M45" i="12"/>
  <c r="M50" i="12" s="1"/>
  <c r="S47" i="12"/>
  <c r="S48" i="12"/>
  <c r="S49" i="12"/>
  <c r="K50" i="12"/>
  <c r="J9" i="12"/>
  <c r="AB14" i="10"/>
  <c r="AB8" i="10"/>
  <c r="I15" i="10"/>
  <c r="X8" i="12" l="1"/>
  <c r="Q15" i="12"/>
  <c r="B14" i="13"/>
  <c r="Y8" i="12"/>
  <c r="P15" i="12"/>
  <c r="W8" i="12"/>
  <c r="R15" i="12"/>
  <c r="J35" i="11"/>
  <c r="J21" i="11"/>
  <c r="AB39" i="10"/>
  <c r="AB33" i="10"/>
  <c r="AB16" i="10"/>
  <c r="AB11" i="10"/>
  <c r="I38" i="10"/>
  <c r="I33" i="10"/>
  <c r="I26" i="10"/>
  <c r="K35" i="11"/>
  <c r="S23" i="11"/>
  <c r="S22" i="11"/>
  <c r="S21" i="11"/>
  <c r="M31" i="11"/>
  <c r="M35" i="11" s="1"/>
  <c r="L31" i="11"/>
  <c r="L35" i="11" s="1"/>
  <c r="S19" i="11"/>
  <c r="L21" i="11"/>
  <c r="K21" i="11"/>
  <c r="Z20" i="11"/>
  <c r="Z19" i="11"/>
  <c r="Z18" i="11"/>
  <c r="M18" i="11"/>
  <c r="Z17" i="11"/>
  <c r="X9" i="11" s="1"/>
  <c r="L16" i="11"/>
  <c r="T9" i="11"/>
  <c r="T8" i="11"/>
  <c r="C7" i="11"/>
  <c r="AF39" i="10"/>
  <c r="AD39" i="10"/>
  <c r="M38" i="10"/>
  <c r="K38" i="10"/>
  <c r="AF33" i="10"/>
  <c r="AD33" i="10"/>
  <c r="O33" i="10"/>
  <c r="O42" i="10" s="1"/>
  <c r="M33" i="10"/>
  <c r="K33" i="10"/>
  <c r="M24" i="10"/>
  <c r="M22" i="10"/>
  <c r="AF16" i="10"/>
  <c r="AD16" i="10"/>
  <c r="K15" i="10"/>
  <c r="K26" i="10" s="1"/>
  <c r="AF8" i="10"/>
  <c r="AF11" i="10" s="1"/>
  <c r="AD8" i="10"/>
  <c r="AD11" i="10" s="1"/>
  <c r="AB18" i="10" l="1"/>
  <c r="AD43" i="10"/>
  <c r="AD18" i="10"/>
  <c r="AF18" i="10"/>
  <c r="H16" i="12"/>
  <c r="I16" i="12"/>
  <c r="AF43" i="10"/>
  <c r="AF45" i="10" s="1"/>
  <c r="Y9" i="11"/>
  <c r="M26" i="10"/>
  <c r="M42" i="10" s="1"/>
  <c r="R16" i="11"/>
  <c r="K17" i="11" s="1"/>
  <c r="P16" i="11"/>
  <c r="Q16" i="11"/>
  <c r="AD45" i="10"/>
  <c r="AB43" i="10"/>
  <c r="Z29" i="10"/>
  <c r="Z31" i="10" s="1"/>
  <c r="Z39" i="10" s="1"/>
  <c r="B15" i="13"/>
  <c r="A13" i="13"/>
  <c r="A15" i="13" s="1"/>
  <c r="K42" i="10"/>
  <c r="K16" i="12"/>
  <c r="L16" i="12"/>
  <c r="J16" i="12"/>
  <c r="I42" i="10"/>
  <c r="W9" i="11"/>
  <c r="L8" i="8"/>
  <c r="C14" i="8"/>
  <c r="AB45" i="10" l="1"/>
  <c r="Z41" i="10"/>
  <c r="Z43" i="10" s="1"/>
  <c r="X29" i="10"/>
  <c r="X31" i="10" s="1"/>
  <c r="J17" i="11"/>
  <c r="I17" i="11"/>
  <c r="L17" i="11"/>
  <c r="L17" i="12"/>
  <c r="K15" i="12"/>
  <c r="L37" i="8"/>
  <c r="L32" i="8"/>
  <c r="L15" i="8"/>
  <c r="L10" i="8"/>
  <c r="L17" i="8" s="1"/>
  <c r="C36" i="8"/>
  <c r="C32" i="8"/>
  <c r="C25" i="8"/>
  <c r="F29" i="9"/>
  <c r="F21" i="9"/>
  <c r="N28" i="9"/>
  <c r="N27" i="9"/>
  <c r="N26" i="9"/>
  <c r="H25" i="9"/>
  <c r="H29" i="9" s="1"/>
  <c r="G25" i="9"/>
  <c r="G29" i="9" s="1"/>
  <c r="N24" i="9"/>
  <c r="M16" i="9" s="1"/>
  <c r="F17" i="9" s="1"/>
  <c r="G21" i="9"/>
  <c r="U20" i="9"/>
  <c r="U19" i="9"/>
  <c r="U18" i="9"/>
  <c r="R9" i="9" s="1"/>
  <c r="H18" i="9"/>
  <c r="U17" i="9"/>
  <c r="T9" i="9" s="1"/>
  <c r="G16" i="9"/>
  <c r="P9" i="9"/>
  <c r="O9" i="9"/>
  <c r="O8" i="9"/>
  <c r="C7" i="9"/>
  <c r="G40" i="8"/>
  <c r="N37" i="8"/>
  <c r="E36" i="8"/>
  <c r="N32" i="8"/>
  <c r="G32" i="8"/>
  <c r="E32" i="8"/>
  <c r="E23" i="8"/>
  <c r="E21" i="8"/>
  <c r="N15" i="8"/>
  <c r="N10" i="8"/>
  <c r="N8" i="8"/>
  <c r="X39" i="10" l="1"/>
  <c r="V29" i="10"/>
  <c r="V31" i="10" s="1"/>
  <c r="X41" i="10"/>
  <c r="X43" i="10" s="1"/>
  <c r="N17" i="8"/>
  <c r="K17" i="12"/>
  <c r="J15" i="12"/>
  <c r="I15" i="12" s="1"/>
  <c r="E25" i="8"/>
  <c r="G17" i="9"/>
  <c r="N41" i="8"/>
  <c r="F16" i="9"/>
  <c r="F18" i="9" s="1"/>
  <c r="K16" i="11"/>
  <c r="L18" i="11"/>
  <c r="L41" i="8"/>
  <c r="L43" i="8" s="1"/>
  <c r="C40" i="8"/>
  <c r="G18" i="9"/>
  <c r="S9" i="9"/>
  <c r="L16" i="9"/>
  <c r="K16" i="9"/>
  <c r="E40" i="8"/>
  <c r="C7" i="7"/>
  <c r="F16" i="7"/>
  <c r="J8" i="6"/>
  <c r="E32" i="6"/>
  <c r="E40" i="6" s="1"/>
  <c r="C32" i="6"/>
  <c r="C21" i="6"/>
  <c r="C23" i="6"/>
  <c r="V41" i="10" l="1"/>
  <c r="V39" i="10"/>
  <c r="V43" i="10" s="1"/>
  <c r="I17" i="12"/>
  <c r="H15" i="12"/>
  <c r="J17" i="12"/>
  <c r="N43" i="8"/>
  <c r="J16" i="11"/>
  <c r="K18" i="11"/>
  <c r="F25" i="7"/>
  <c r="F29" i="7" s="1"/>
  <c r="G25" i="7"/>
  <c r="G29" i="7" s="1"/>
  <c r="M28" i="7"/>
  <c r="M27" i="7"/>
  <c r="M26" i="7"/>
  <c r="M24" i="7"/>
  <c r="M28" i="5"/>
  <c r="L16" i="5" s="1"/>
  <c r="M27" i="5"/>
  <c r="M26" i="5"/>
  <c r="M24" i="5"/>
  <c r="O9" i="5"/>
  <c r="N9" i="5"/>
  <c r="F21" i="7"/>
  <c r="T20" i="7"/>
  <c r="T19" i="7"/>
  <c r="T18" i="7"/>
  <c r="G18" i="7"/>
  <c r="T17" i="7"/>
  <c r="O9" i="7"/>
  <c r="N9" i="7"/>
  <c r="N8" i="7"/>
  <c r="J37" i="6"/>
  <c r="C36" i="6"/>
  <c r="J32" i="6"/>
  <c r="C25" i="6"/>
  <c r="J15" i="6"/>
  <c r="J10" i="6"/>
  <c r="J17" i="6" s="1"/>
  <c r="H17" i="12" l="1"/>
  <c r="S9" i="7"/>
  <c r="I16" i="11"/>
  <c r="J18" i="11"/>
  <c r="J16" i="7"/>
  <c r="R9" i="7"/>
  <c r="K16" i="7"/>
  <c r="L16" i="7"/>
  <c r="F17" i="7" s="1"/>
  <c r="F18" i="7" s="1"/>
  <c r="C40" i="6"/>
  <c r="J41" i="6"/>
  <c r="J43" i="6" s="1"/>
  <c r="K16" i="5"/>
  <c r="J16" i="5"/>
  <c r="Q9" i="7"/>
  <c r="N8" i="5"/>
  <c r="C37" i="4"/>
  <c r="C41" i="4" s="1"/>
  <c r="J15" i="4"/>
  <c r="C33" i="4"/>
  <c r="C25" i="4"/>
  <c r="C27" i="4" s="1"/>
  <c r="G29" i="5"/>
  <c r="F29" i="5"/>
  <c r="T20" i="5"/>
  <c r="T19" i="5"/>
  <c r="T18" i="5"/>
  <c r="T17" i="5"/>
  <c r="F21" i="5"/>
  <c r="G18" i="5"/>
  <c r="F18" i="5"/>
  <c r="C7" i="5"/>
  <c r="J39" i="4"/>
  <c r="L34" i="4"/>
  <c r="J34" i="4"/>
  <c r="J17" i="4"/>
  <c r="L39" i="4"/>
  <c r="E37" i="4"/>
  <c r="E33" i="4"/>
  <c r="L27" i="4"/>
  <c r="E27" i="4"/>
  <c r="L17" i="4"/>
  <c r="L10" i="4"/>
  <c r="J10" i="4"/>
  <c r="E9" i="4"/>
  <c r="F15" i="2"/>
  <c r="G28" i="2"/>
  <c r="F28" i="2"/>
  <c r="M27" i="2"/>
  <c r="M26" i="2"/>
  <c r="M25" i="2"/>
  <c r="M24" i="2"/>
  <c r="F20" i="2"/>
  <c r="O9" i="2"/>
  <c r="N9" i="2"/>
  <c r="N8" i="2"/>
  <c r="C7" i="2"/>
  <c r="C28" i="1"/>
  <c r="J17" i="1"/>
  <c r="J10" i="1"/>
  <c r="J19" i="1" s="1"/>
  <c r="J43" i="1"/>
  <c r="L38" i="1"/>
  <c r="L39" i="1" s="1"/>
  <c r="L43" i="1" s="1"/>
  <c r="E39" i="1"/>
  <c r="E34" i="1"/>
  <c r="L27" i="1"/>
  <c r="E26" i="1"/>
  <c r="E24" i="1"/>
  <c r="E17" i="1"/>
  <c r="E16" i="1"/>
  <c r="L15" i="1"/>
  <c r="L17" i="1" s="1"/>
  <c r="L9" i="1"/>
  <c r="E9" i="1"/>
  <c r="E10" i="1" s="1"/>
  <c r="J16" i="2" l="1"/>
  <c r="L16" i="2"/>
  <c r="L43" i="4"/>
  <c r="K16" i="2"/>
  <c r="E41" i="4"/>
  <c r="H16" i="11"/>
  <c r="H18" i="11" s="1"/>
  <c r="I18" i="11"/>
  <c r="R9" i="5"/>
  <c r="Q9" i="5"/>
  <c r="S9" i="5"/>
  <c r="L19" i="4"/>
  <c r="L45" i="4" s="1"/>
  <c r="J43" i="4"/>
  <c r="J19" i="4"/>
  <c r="L10" i="1"/>
  <c r="L19" i="1" s="1"/>
  <c r="E28" i="1"/>
  <c r="E43" i="1" s="1"/>
  <c r="J45" i="4" l="1"/>
  <c r="G17" i="2"/>
  <c r="F17" i="2"/>
</calcChain>
</file>

<file path=xl/sharedStrings.xml><?xml version="1.0" encoding="utf-8"?>
<sst xmlns="http://schemas.openxmlformats.org/spreadsheetml/2006/main" count="950" uniqueCount="240">
  <si>
    <t>Resultaträkning</t>
  </si>
  <si>
    <t>Balansräkning</t>
  </si>
  <si>
    <t>Brf Stören, Domaregatan 4a, 292 35 Kalmar</t>
  </si>
  <si>
    <t>OrgNr: 769617-1789</t>
  </si>
  <si>
    <t>1 Januari 2013 - 31 December 2013</t>
  </si>
  <si>
    <t>31 December 2013</t>
  </si>
  <si>
    <t>Intäkter</t>
  </si>
  <si>
    <t>Tillgångar</t>
  </si>
  <si>
    <t>Föreningens Intäkter</t>
  </si>
  <si>
    <t>År 2013</t>
  </si>
  <si>
    <t>Materiella Anläggningstillgångar</t>
  </si>
  <si>
    <t>Årsavgifter</t>
  </si>
  <si>
    <t>Byggnader</t>
  </si>
  <si>
    <t>Övriga Intäkter</t>
  </si>
  <si>
    <t>Mark</t>
  </si>
  <si>
    <t>Summa intäkter</t>
  </si>
  <si>
    <t>Summa Anläggningstillgångar</t>
  </si>
  <si>
    <t>Kostnader</t>
  </si>
  <si>
    <t>Föreningens Kostnader</t>
  </si>
  <si>
    <t>Omsättningstillgångar</t>
  </si>
  <si>
    <t>Registreringsavgifter</t>
  </si>
  <si>
    <t>Nordea Kalmar</t>
  </si>
  <si>
    <t>Självrisker försäkringsärende</t>
  </si>
  <si>
    <t>Nordea RänteKto 3m</t>
  </si>
  <si>
    <t>Reparationer och Underhåll</t>
  </si>
  <si>
    <t>Summa Omsättningstillgångar</t>
  </si>
  <si>
    <t>Vatten &amp; Avlopp</t>
  </si>
  <si>
    <t>Fastighet El</t>
  </si>
  <si>
    <t>Summa Tillgångar</t>
  </si>
  <si>
    <t>Fastighet Fjärrvärme</t>
  </si>
  <si>
    <t>Sophantering, renhållning</t>
  </si>
  <si>
    <t xml:space="preserve">Fastighet Försäkringar </t>
  </si>
  <si>
    <t>Förbrukningsmaterial</t>
  </si>
  <si>
    <t>Förbrukningsinventarier</t>
  </si>
  <si>
    <t>Skulder och Eget Kapital</t>
  </si>
  <si>
    <t>Snöröjning</t>
  </si>
  <si>
    <t>Bundet Eget Kapital</t>
  </si>
  <si>
    <t>IT &amp; Redovisningstjänster</t>
  </si>
  <si>
    <t>Insatser</t>
  </si>
  <si>
    <t>Bankavgifter</t>
  </si>
  <si>
    <t>Summa Bundet Eget Kapital</t>
  </si>
  <si>
    <t>Summa driftskostnader</t>
  </si>
  <si>
    <t>Fritt Eget Kapital</t>
  </si>
  <si>
    <t>Finansiella Intäkter och kostnader</t>
  </si>
  <si>
    <t>Balanserat Resultat</t>
  </si>
  <si>
    <t>Ränteintäkter</t>
  </si>
  <si>
    <t>Årets Resultat</t>
  </si>
  <si>
    <t>Summa Finansiella Intäkter och kostnader</t>
  </si>
  <si>
    <t>Summa Fritt Eget Kapital</t>
  </si>
  <si>
    <t>Avskrivningar</t>
  </si>
  <si>
    <t>Kortfristiga Skulder</t>
  </si>
  <si>
    <t>Avskrivningar Tilläggsinvesteringar</t>
  </si>
  <si>
    <t>Leverantörsskulder</t>
  </si>
  <si>
    <t>Avskrivning Byggnad</t>
  </si>
  <si>
    <t>Upplupna kostnader, förutbetalda intäkter</t>
  </si>
  <si>
    <t>Summa Avskrivningar</t>
  </si>
  <si>
    <t>Summa Kortfristiga Skulder</t>
  </si>
  <si>
    <t>Årets Skattekostnad</t>
  </si>
  <si>
    <t>Summa Skulder och Eget Kapital</t>
  </si>
  <si>
    <t>2014-dec-31</t>
  </si>
  <si>
    <t>Upplupna hyresintäkter</t>
  </si>
  <si>
    <t>År 2014</t>
  </si>
  <si>
    <t>Fastighetsskatt</t>
  </si>
  <si>
    <t>Not 1</t>
  </si>
  <si>
    <t>Redovisningsprinciper</t>
  </si>
  <si>
    <t>Tillgångar och skulder är upptagna till anskaffningsvärdet respektive nominellt belopp, om ej annat framgår av efterföljande notanteckning.</t>
  </si>
  <si>
    <t>Not 2</t>
  </si>
  <si>
    <t>Byggnader, grunduppgifter</t>
  </si>
  <si>
    <t>Anskaffningsvärde, Fastigheten Stören 23</t>
  </si>
  <si>
    <t>Underlag för fastighetsavgift</t>
  </si>
  <si>
    <t>0,15% av Taxvärde</t>
  </si>
  <si>
    <t>Anskaffningsvärde byggnad</t>
  </si>
  <si>
    <t>av fastighet</t>
  </si>
  <si>
    <t>Ant Lägh</t>
  </si>
  <si>
    <t>Avg/lägh</t>
  </si>
  <si>
    <t>FastAvg</t>
  </si>
  <si>
    <t>Fasadrenovering 2011 (5%)</t>
  </si>
  <si>
    <t>Beräkna FastAvgift</t>
  </si>
  <si>
    <t>Fast.Avgift halv</t>
  </si>
  <si>
    <t>Taxeringsvärde fastighet</t>
  </si>
  <si>
    <t>Ändra i det gula fältet. Välj mellan 50, 100 eller 200 år</t>
  </si>
  <si>
    <t>Beräkning av avskrivning</t>
  </si>
  <si>
    <t>Ack avskrivningar</t>
  </si>
  <si>
    <t>50år</t>
  </si>
  <si>
    <t>100år</t>
  </si>
  <si>
    <t>200år</t>
  </si>
  <si>
    <t>Årets avskrivning</t>
  </si>
  <si>
    <t>Summa:</t>
  </si>
  <si>
    <t>Not 3</t>
  </si>
  <si>
    <t>Anskaffningsvärde Fastighet - Anskaffningsvärde Byggnad</t>
  </si>
  <si>
    <t>Avskrivnings objekt</t>
  </si>
  <si>
    <t>Antal år</t>
  </si>
  <si>
    <t>%</t>
  </si>
  <si>
    <t>Fasadrenovering</t>
  </si>
  <si>
    <t>Not 4</t>
  </si>
  <si>
    <t>Upplupna kostnader och förutbetalda intäkter</t>
  </si>
  <si>
    <t>Byggnad antal år</t>
  </si>
  <si>
    <t>Förutbetalda avgifter, hyra 1 mån</t>
  </si>
  <si>
    <t>Energikostnader/El</t>
  </si>
  <si>
    <t>Summa</t>
  </si>
  <si>
    <t>Not 5</t>
  </si>
  <si>
    <t>Försäkringsersättning</t>
  </si>
  <si>
    <t>Ersättning från försäkringsbolag i samband med översvämning</t>
  </si>
  <si>
    <t xml:space="preserve">den 27 juni. </t>
  </si>
  <si>
    <t>Not 6</t>
  </si>
  <si>
    <t>Självrisk Länsförsäkringar</t>
  </si>
  <si>
    <t>Erlagd självrisk i samband med översvämning 27 juni.</t>
  </si>
  <si>
    <t xml:space="preserve"> Avvakta besked om återbetalning från Kalmar Vatten AB.</t>
  </si>
  <si>
    <t>Not 7</t>
  </si>
  <si>
    <t>Nya möbler gästrum</t>
  </si>
  <si>
    <t>Utgifter i samband med översvämning 27 juni.</t>
  </si>
  <si>
    <t>Not 8</t>
  </si>
  <si>
    <t>Inbetalda insatser 5 st</t>
  </si>
  <si>
    <t>Noter 2014</t>
  </si>
  <si>
    <t>Taxeringsvärde byggnad</t>
  </si>
  <si>
    <t>2013 dec 31</t>
  </si>
  <si>
    <t>Upplupna Hyresintäkter</t>
  </si>
  <si>
    <t>Not 9</t>
  </si>
  <si>
    <t>Noter 2015</t>
  </si>
  <si>
    <t>År 2015</t>
  </si>
  <si>
    <t>2015-dec-31</t>
  </si>
  <si>
    <t>Fönsterrenovering 2015 (4%)</t>
  </si>
  <si>
    <t>2014 dec 31</t>
  </si>
  <si>
    <t>2015 dec 31</t>
  </si>
  <si>
    <t>1 Januari 2015 - 31 December 2015</t>
  </si>
  <si>
    <t xml:space="preserve">Återbetalning av självrisk från Kalmar Vatten </t>
  </si>
  <si>
    <t>i samband med översvämning 27 juni 2013.</t>
  </si>
  <si>
    <t>31 December 2015</t>
  </si>
  <si>
    <t>Fönsterrenovering</t>
  </si>
  <si>
    <t>Aktiverad nov 2015</t>
  </si>
  <si>
    <t>2016 dec 31</t>
  </si>
  <si>
    <t>1 Januari 2016 - 31 December 2016</t>
  </si>
  <si>
    <t>31 December 2016</t>
  </si>
  <si>
    <t>År 2016</t>
  </si>
  <si>
    <t>Räntekostnader</t>
  </si>
  <si>
    <t>2016-dec-31</t>
  </si>
  <si>
    <t>Beredskapsersättning OTAB</t>
  </si>
  <si>
    <t>Redovisningstjänster</t>
  </si>
  <si>
    <t>Fastighetsskatt, inkl ränta</t>
  </si>
  <si>
    <t>Noter 2017</t>
  </si>
  <si>
    <t>av fastighet (0,5%)</t>
  </si>
  <si>
    <t>År 2017</t>
  </si>
  <si>
    <t>1 Januari 2017 - 31 December 2017</t>
  </si>
  <si>
    <t>31 December 2017</t>
  </si>
  <si>
    <t xml:space="preserve"> 31 Dec 2017</t>
  </si>
  <si>
    <t xml:space="preserve"> 31 Dec 2016</t>
  </si>
  <si>
    <t>31 Dec 2017</t>
  </si>
  <si>
    <t>31 Dec 2016</t>
  </si>
  <si>
    <t>År 2018</t>
  </si>
  <si>
    <t xml:space="preserve"> 31 Dec 2018</t>
  </si>
  <si>
    <t>Org nr: 769617-1789</t>
  </si>
  <si>
    <t>Brf Stören, Domaregatan 4A, 292 35 Kalmar</t>
  </si>
  <si>
    <t>Nordea Ränte konto 3m</t>
  </si>
  <si>
    <t>Fjärrvärme/El</t>
  </si>
  <si>
    <t xml:space="preserve">Fastighetsförsäkringar </t>
  </si>
  <si>
    <t xml:space="preserve">Fasadrenovering 2011 </t>
  </si>
  <si>
    <t xml:space="preserve">Fönsterrenovering 2015 </t>
  </si>
  <si>
    <t>Kto 1110 Byggnad</t>
  </si>
  <si>
    <t>31 Dec 2018</t>
  </si>
  <si>
    <t>Byggnader, anskaffningsvärde</t>
  </si>
  <si>
    <t>Kto 1119 Ack avskrivningar byggnad</t>
  </si>
  <si>
    <t xml:space="preserve">Anskaffningsvärde Fastighet </t>
  </si>
  <si>
    <t>- Anskaffningsvärde Byggnad</t>
  </si>
  <si>
    <t>Kto 1130 Mark</t>
  </si>
  <si>
    <t>Ack avskrivningar byggnad</t>
  </si>
  <si>
    <t>Förutbetalda intäkter</t>
  </si>
  <si>
    <t>Axelsson</t>
  </si>
  <si>
    <t>Carlsson</t>
  </si>
  <si>
    <t>Tell</t>
  </si>
  <si>
    <t>Kto 2970 Förutbetalda hyror Januari</t>
  </si>
  <si>
    <t>Kassa och Bank</t>
  </si>
  <si>
    <t>Kto 1940, Nordea plusgiro 596037-2</t>
  </si>
  <si>
    <t>Kto, 1950,Nordea sparkonto 3022 23 17744</t>
  </si>
  <si>
    <t>S:a Kassa &amp; Bank</t>
  </si>
  <si>
    <t>Eget kapital</t>
  </si>
  <si>
    <t>Kto 2083, Inbetalda insatser 5 st</t>
  </si>
  <si>
    <t>Kto 2099 Årets resultat</t>
  </si>
  <si>
    <t>Kto 2091 Balanserat resultat</t>
  </si>
  <si>
    <t>S:a Eget kapital</t>
  </si>
  <si>
    <t>År 2019</t>
  </si>
  <si>
    <t xml:space="preserve"> 31 Dec 2019</t>
  </si>
  <si>
    <t>31 Dec 2019</t>
  </si>
  <si>
    <t>Cangemark</t>
  </si>
  <si>
    <t xml:space="preserve"> 31 Dec 2020</t>
  </si>
  <si>
    <t>31 Dec 2020</t>
  </si>
  <si>
    <t>Avskrivning Inventarier</t>
  </si>
  <si>
    <t>År 2020</t>
  </si>
  <si>
    <t>Maskiner &amp; Inventarier</t>
  </si>
  <si>
    <t>Avskrivning Maskiner &amp; Inventarier</t>
  </si>
  <si>
    <t>Inventarier</t>
  </si>
  <si>
    <t>Anskaffningsvärde inventarier</t>
  </si>
  <si>
    <t>Inköpsår</t>
  </si>
  <si>
    <t>Antal år avskrivning</t>
  </si>
  <si>
    <t>Fläkt källare</t>
  </si>
  <si>
    <t>Kto 1220 Anskaffningsvärde Inventarier</t>
  </si>
  <si>
    <t>Kto 1229 Ack avskrivningar</t>
  </si>
  <si>
    <t>Kto 7832 Årets avskrivning</t>
  </si>
  <si>
    <t>Netto Inventarier</t>
  </si>
  <si>
    <t>Kto 2960 &amp;2990 Upplupna kostnader</t>
  </si>
  <si>
    <t>Bu 2021</t>
  </si>
  <si>
    <t>0,3% av Taxvärde</t>
  </si>
  <si>
    <t>Ver:</t>
  </si>
  <si>
    <t>Avskrivning byggnad</t>
  </si>
  <si>
    <t>Avskrivning inventarier</t>
  </si>
  <si>
    <t>Kronor</t>
  </si>
  <si>
    <t>Anskaffning och avskrivning Inventarier</t>
  </si>
  <si>
    <t>Ombokning föregående års resultat i Eget kapital:</t>
  </si>
  <si>
    <t>Ombokning årets resultat:</t>
  </si>
  <si>
    <t>Datum:</t>
  </si>
  <si>
    <t>Bu 2022</t>
  </si>
  <si>
    <t>År 2021</t>
  </si>
  <si>
    <t xml:space="preserve"> 31 Dec 2021</t>
  </si>
  <si>
    <t>31 Dec 2021</t>
  </si>
  <si>
    <t>Laddstolpar</t>
  </si>
  <si>
    <t>Gamla inventarier</t>
  </si>
  <si>
    <t>Rörelseresultat</t>
  </si>
  <si>
    <t>Resultat före avskrivningar</t>
  </si>
  <si>
    <t>A 109</t>
  </si>
  <si>
    <t>Restvärde UB</t>
  </si>
  <si>
    <t>Restvärde IB</t>
  </si>
  <si>
    <t>Ackumulerade avskrivningar</t>
  </si>
  <si>
    <t>A 112</t>
  </si>
  <si>
    <t>-97.237,50</t>
  </si>
  <si>
    <t>Vinterrengöring Ostkusten</t>
  </si>
  <si>
    <t>Vinterrengöring, Ostkusten</t>
  </si>
  <si>
    <t>31 Dec 2022</t>
  </si>
  <si>
    <t>Fjärrvärme, dec 2022, Kalmar Energi</t>
  </si>
  <si>
    <t>El, nov-dec 2022, Kalmar Energi</t>
  </si>
  <si>
    <t>År 2022</t>
  </si>
  <si>
    <t xml:space="preserve"> 31 Dec 2022</t>
  </si>
  <si>
    <t>1 Januari 2022 - 31 December 2022</t>
  </si>
  <si>
    <t>31 December 2022</t>
  </si>
  <si>
    <t>Specifikationer till Balansräkning 2022-12-31</t>
  </si>
  <si>
    <t>Noter 2022</t>
  </si>
  <si>
    <t>-49.508,38</t>
  </si>
  <si>
    <t>Förbrukningsmaterial &amp; övrigt</t>
  </si>
  <si>
    <t>Wiberg/Mepol</t>
  </si>
  <si>
    <t>Förslag till Budget 2023</t>
  </si>
  <si>
    <t>Bu 2023</t>
  </si>
  <si>
    <t>A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</si>
</sst>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yyyy/mmm/dd"/>
    <numFmt numFmtId="166" formatCode="mmm/yyyy"/>
    <numFmt numFmtId="167" formatCode="0.0%"/>
    <numFmt numFmtId="168" formatCode="#,##0\ &quot;kr&quot;"/>
    <numFmt numFmtId="169" formatCode="_-* #,##0\ _k_r_-;\-* #,##0\ _k_r_-;_-* &quot;-&quot;??\ _k_r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13">
    <xf numFmtId="0" fontId="0" fillId="0" borderId="0" xfId="0"/>
    <xf numFmtId="3" fontId="2" fillId="0" borderId="0" xfId="0" applyNumberFormat="1" applyFont="1"/>
    <xf numFmtId="3" fontId="0" fillId="0" borderId="0" xfId="0" applyNumberFormat="1"/>
    <xf numFmtId="3" fontId="3" fillId="0" borderId="0" xfId="0" applyNumberFormat="1" applyFont="1"/>
    <xf numFmtId="3" fontId="4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3" fontId="6" fillId="0" borderId="0" xfId="0" applyNumberFormat="1" applyFont="1"/>
    <xf numFmtId="0" fontId="1" fillId="0" borderId="0" xfId="0" applyFont="1"/>
    <xf numFmtId="3" fontId="5" fillId="2" borderId="0" xfId="0" applyNumberFormat="1" applyFont="1" applyFill="1"/>
    <xf numFmtId="3" fontId="5" fillId="2" borderId="0" xfId="0" applyNumberFormat="1" applyFont="1" applyFill="1" applyAlignment="1">
      <alignment horizontal="right"/>
    </xf>
    <xf numFmtId="3" fontId="1" fillId="2" borderId="0" xfId="0" applyNumberFormat="1" applyFont="1" applyFill="1"/>
    <xf numFmtId="165" fontId="6" fillId="2" borderId="0" xfId="0" applyNumberFormat="1" applyFont="1" applyFill="1"/>
    <xf numFmtId="3" fontId="4" fillId="2" borderId="0" xfId="0" applyNumberFormat="1" applyFont="1" applyFill="1"/>
    <xf numFmtId="3" fontId="7" fillId="0" borderId="0" xfId="0" applyNumberFormat="1" applyFont="1"/>
    <xf numFmtId="3" fontId="4" fillId="0" borderId="1" xfId="0" applyNumberFormat="1" applyFont="1" applyBorder="1"/>
    <xf numFmtId="3" fontId="5" fillId="3" borderId="0" xfId="0" applyNumberFormat="1" applyFont="1" applyFill="1"/>
    <xf numFmtId="3" fontId="1" fillId="3" borderId="0" xfId="0" applyNumberFormat="1" applyFont="1" applyFill="1"/>
    <xf numFmtId="3" fontId="5" fillId="0" borderId="0" xfId="0" applyNumberFormat="1" applyFont="1"/>
    <xf numFmtId="3" fontId="1" fillId="0" borderId="0" xfId="0" applyNumberFormat="1" applyFont="1"/>
    <xf numFmtId="3" fontId="6" fillId="3" borderId="0" xfId="0" applyNumberFormat="1" applyFont="1" applyFill="1"/>
    <xf numFmtId="3" fontId="4" fillId="3" borderId="0" xfId="0" applyNumberFormat="1" applyFont="1" applyFill="1"/>
    <xf numFmtId="4" fontId="4" fillId="0" borderId="0" xfId="0" applyNumberFormat="1" applyFont="1"/>
    <xf numFmtId="3" fontId="5" fillId="4" borderId="0" xfId="0" applyNumberFormat="1" applyFont="1" applyFill="1"/>
    <xf numFmtId="3" fontId="1" fillId="4" borderId="0" xfId="0" applyNumberFormat="1" applyFont="1" applyFill="1"/>
    <xf numFmtId="3" fontId="0" fillId="4" borderId="0" xfId="0" applyNumberFormat="1" applyFill="1"/>
    <xf numFmtId="3" fontId="6" fillId="2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4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3" borderId="0" xfId="0" applyNumberFormat="1" applyFont="1" applyFill="1" applyAlignment="1">
      <alignment horizontal="right"/>
    </xf>
    <xf numFmtId="3" fontId="0" fillId="3" borderId="0" xfId="0" applyNumberForma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4" borderId="0" xfId="0" applyNumberFormat="1" applyFont="1" applyFill="1" applyAlignment="1">
      <alignment horizontal="right"/>
    </xf>
    <xf numFmtId="3" fontId="4" fillId="4" borderId="0" xfId="0" applyNumberFormat="1" applyFont="1" applyFill="1"/>
    <xf numFmtId="3" fontId="5" fillId="5" borderId="0" xfId="0" applyNumberFormat="1" applyFont="1" applyFill="1"/>
    <xf numFmtId="3" fontId="5" fillId="5" borderId="0" xfId="0" applyNumberFormat="1" applyFont="1" applyFill="1" applyAlignment="1">
      <alignment horizontal="right"/>
    </xf>
    <xf numFmtId="3" fontId="4" fillId="5" borderId="0" xfId="0" applyNumberFormat="1" applyFont="1" applyFill="1"/>
    <xf numFmtId="3" fontId="0" fillId="5" borderId="0" xfId="0" applyNumberFormat="1" applyFill="1"/>
    <xf numFmtId="3" fontId="4" fillId="0" borderId="1" xfId="0" applyNumberFormat="1" applyFont="1" applyBorder="1" applyAlignment="1">
      <alignment horizontal="right"/>
    </xf>
    <xf numFmtId="3" fontId="1" fillId="5" borderId="0" xfId="0" applyNumberFormat="1" applyFont="1" applyFill="1"/>
    <xf numFmtId="3" fontId="8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166" fontId="0" fillId="0" borderId="0" xfId="0" applyNumberFormat="1" applyAlignment="1">
      <alignment horizontal="right"/>
    </xf>
    <xf numFmtId="0" fontId="7" fillId="0" borderId="0" xfId="0" applyFont="1"/>
    <xf numFmtId="0" fontId="0" fillId="0" borderId="2" xfId="0" applyBorder="1"/>
    <xf numFmtId="0" fontId="0" fillId="0" borderId="3" xfId="0" applyBorder="1"/>
    <xf numFmtId="0" fontId="0" fillId="3" borderId="4" xfId="0" applyFill="1" applyBorder="1"/>
    <xf numFmtId="0" fontId="0" fillId="3" borderId="5" xfId="0" applyFill="1" applyBorder="1"/>
    <xf numFmtId="10" fontId="7" fillId="0" borderId="0" xfId="1" applyNumberFormat="1" applyFont="1"/>
    <xf numFmtId="9" fontId="7" fillId="0" borderId="0" xfId="1" applyFont="1"/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0" fillId="3" borderId="10" xfId="0" applyFill="1" applyBorder="1" applyAlignment="1">
      <alignment horizontal="right"/>
    </xf>
    <xf numFmtId="0" fontId="0" fillId="3" borderId="12" xfId="0" applyFill="1" applyBorder="1"/>
    <xf numFmtId="0" fontId="0" fillId="3" borderId="13" xfId="0" applyFill="1" applyBorder="1"/>
    <xf numFmtId="3" fontId="0" fillId="0" borderId="14" xfId="0" applyNumberFormat="1" applyBorder="1"/>
    <xf numFmtId="0" fontId="0" fillId="3" borderId="15" xfId="0" applyFill="1" applyBorder="1"/>
    <xf numFmtId="3" fontId="10" fillId="0" borderId="0" xfId="0" applyNumberFormat="1" applyFont="1"/>
    <xf numFmtId="0" fontId="0" fillId="3" borderId="16" xfId="0" applyFill="1" applyBorder="1"/>
    <xf numFmtId="0" fontId="0" fillId="3" borderId="17" xfId="0" applyFill="1" applyBorder="1"/>
    <xf numFmtId="0" fontId="0" fillId="0" borderId="18" xfId="0" applyBorder="1"/>
    <xf numFmtId="0" fontId="0" fillId="6" borderId="18" xfId="0" applyFill="1" applyBorder="1"/>
    <xf numFmtId="3" fontId="0" fillId="7" borderId="19" xfId="0" applyNumberFormat="1" applyFill="1" applyBorder="1"/>
    <xf numFmtId="3" fontId="11" fillId="0" borderId="0" xfId="0" applyNumberFormat="1" applyFont="1"/>
    <xf numFmtId="3" fontId="12" fillId="0" borderId="0" xfId="0" applyNumberFormat="1" applyFont="1"/>
    <xf numFmtId="165" fontId="1" fillId="3" borderId="0" xfId="0" applyNumberFormat="1" applyFont="1" applyFill="1" applyAlignment="1">
      <alignment horizontal="right"/>
    </xf>
    <xf numFmtId="0" fontId="0" fillId="8" borderId="9" xfId="0" applyFill="1" applyBorder="1"/>
    <xf numFmtId="0" fontId="0" fillId="8" borderId="10" xfId="0" applyFill="1" applyBorder="1"/>
    <xf numFmtId="0" fontId="0" fillId="8" borderId="13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14" xfId="0" applyFill="1" applyBorder="1"/>
    <xf numFmtId="0" fontId="0" fillId="3" borderId="23" xfId="0" applyFill="1" applyBorder="1"/>
    <xf numFmtId="3" fontId="7" fillId="0" borderId="1" xfId="0" applyNumberFormat="1" applyFont="1" applyBorder="1"/>
    <xf numFmtId="3" fontId="7" fillId="8" borderId="1" xfId="0" applyNumberFormat="1" applyFont="1" applyFill="1" applyBorder="1"/>
    <xf numFmtId="0" fontId="0" fillId="8" borderId="14" xfId="0" applyFill="1" applyBorder="1"/>
    <xf numFmtId="3" fontId="0" fillId="8" borderId="14" xfId="0" applyNumberFormat="1" applyFill="1" applyBorder="1"/>
    <xf numFmtId="0" fontId="0" fillId="9" borderId="0" xfId="0" applyFill="1"/>
    <xf numFmtId="3" fontId="0" fillId="9" borderId="0" xfId="0" applyNumberFormat="1" applyFill="1"/>
    <xf numFmtId="166" fontId="1" fillId="0" borderId="0" xfId="0" applyNumberFormat="1" applyFont="1" applyAlignment="1">
      <alignment horizontal="right"/>
    </xf>
    <xf numFmtId="0" fontId="0" fillId="3" borderId="10" xfId="0" applyFill="1" applyBorder="1"/>
    <xf numFmtId="0" fontId="0" fillId="3" borderId="13" xfId="0" applyFill="1" applyBorder="1" applyAlignment="1">
      <alignment horizontal="right"/>
    </xf>
    <xf numFmtId="0" fontId="0" fillId="0" borderId="14" xfId="0" applyBorder="1"/>
    <xf numFmtId="9" fontId="0" fillId="0" borderId="14" xfId="0" applyNumberFormat="1" applyBorder="1"/>
    <xf numFmtId="167" fontId="0" fillId="0" borderId="14" xfId="0" applyNumberFormat="1" applyBorder="1"/>
    <xf numFmtId="168" fontId="7" fillId="0" borderId="0" xfId="0" applyNumberFormat="1" applyFont="1"/>
    <xf numFmtId="3" fontId="7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3" fontId="5" fillId="0" borderId="0" xfId="0" applyNumberFormat="1" applyFont="1" applyAlignment="1">
      <alignment horizontal="left" vertical="top" wrapText="1"/>
    </xf>
    <xf numFmtId="0" fontId="0" fillId="0" borderId="9" xfId="0" applyBorder="1"/>
    <xf numFmtId="0" fontId="0" fillId="0" borderId="10" xfId="0" applyBorder="1"/>
    <xf numFmtId="0" fontId="0" fillId="0" borderId="14" xfId="0" applyBorder="1" applyAlignment="1">
      <alignment horizontal="right"/>
    </xf>
    <xf numFmtId="167" fontId="0" fillId="0" borderId="0" xfId="0" applyNumberFormat="1"/>
    <xf numFmtId="3" fontId="0" fillId="9" borderId="1" xfId="0" applyNumberFormat="1" applyFill="1" applyBorder="1"/>
    <xf numFmtId="3" fontId="6" fillId="2" borderId="0" xfId="0" quotePrefix="1" applyNumberFormat="1" applyFont="1" applyFill="1" applyAlignment="1">
      <alignment horizontal="right"/>
    </xf>
    <xf numFmtId="165" fontId="1" fillId="3" borderId="0" xfId="0" quotePrefix="1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0" xfId="0" applyNumberFormat="1" applyFont="1"/>
    <xf numFmtId="3" fontId="13" fillId="0" borderId="1" xfId="0" applyNumberFormat="1" applyFont="1" applyBorder="1"/>
    <xf numFmtId="3" fontId="14" fillId="0" borderId="0" xfId="0" applyNumberFormat="1" applyFont="1"/>
    <xf numFmtId="10" fontId="7" fillId="0" borderId="0" xfId="0" applyNumberFormat="1" applyFont="1"/>
    <xf numFmtId="167" fontId="7" fillId="0" borderId="0" xfId="1" applyNumberFormat="1" applyFont="1"/>
    <xf numFmtId="167" fontId="7" fillId="0" borderId="0" xfId="0" applyNumberFormat="1" applyFont="1"/>
    <xf numFmtId="3" fontId="7" fillId="0" borderId="0" xfId="0" quotePrefix="1" applyNumberFormat="1" applyFont="1" applyAlignment="1">
      <alignment horizontal="left" vertical="top" wrapText="1"/>
    </xf>
    <xf numFmtId="3" fontId="1" fillId="0" borderId="0" xfId="0" applyNumberFormat="1" applyFont="1" applyAlignment="1">
      <alignment vertical="top" wrapText="1"/>
    </xf>
    <xf numFmtId="169" fontId="0" fillId="0" borderId="0" xfId="2" applyNumberFormat="1" applyFont="1"/>
    <xf numFmtId="3" fontId="15" fillId="0" borderId="0" xfId="0" applyNumberFormat="1" applyFont="1"/>
    <xf numFmtId="3" fontId="15" fillId="0" borderId="0" xfId="0" applyNumberFormat="1" applyFont="1" applyAlignment="1">
      <alignment horizontal="left" vertical="top" wrapText="1"/>
    </xf>
    <xf numFmtId="0" fontId="15" fillId="0" borderId="0" xfId="0" applyFont="1"/>
    <xf numFmtId="3" fontId="1" fillId="9" borderId="1" xfId="0" applyNumberFormat="1" applyFont="1" applyFill="1" applyBorder="1"/>
    <xf numFmtId="3" fontId="1" fillId="9" borderId="1" xfId="0" applyNumberFormat="1" applyFont="1" applyFill="1" applyBorder="1" applyAlignment="1">
      <alignment vertical="top" wrapText="1"/>
    </xf>
    <xf numFmtId="3" fontId="16" fillId="9" borderId="1" xfId="0" applyNumberFormat="1" applyFont="1" applyFill="1" applyBorder="1"/>
    <xf numFmtId="3" fontId="4" fillId="10" borderId="0" xfId="0" applyNumberFormat="1" applyFont="1" applyFill="1" applyAlignment="1">
      <alignment horizontal="right"/>
    </xf>
    <xf numFmtId="3" fontId="5" fillId="10" borderId="0" xfId="0" applyNumberFormat="1" applyFont="1" applyFill="1" applyAlignment="1">
      <alignment horizontal="right"/>
    </xf>
    <xf numFmtId="3" fontId="13" fillId="10" borderId="0" xfId="0" applyNumberFormat="1" applyFont="1" applyFill="1" applyAlignment="1">
      <alignment horizontal="right"/>
    </xf>
    <xf numFmtId="3" fontId="13" fillId="10" borderId="1" xfId="0" applyNumberFormat="1" applyFont="1" applyFill="1" applyBorder="1" applyAlignment="1">
      <alignment horizontal="right"/>
    </xf>
    <xf numFmtId="3" fontId="4" fillId="10" borderId="1" xfId="0" applyNumberFormat="1" applyFont="1" applyFill="1" applyBorder="1" applyAlignment="1">
      <alignment horizontal="right"/>
    </xf>
    <xf numFmtId="3" fontId="0" fillId="0" borderId="0" xfId="0" applyNumberFormat="1" applyAlignment="1">
      <alignment vertical="top" wrapText="1"/>
    </xf>
    <xf numFmtId="3" fontId="17" fillId="3" borderId="0" xfId="0" applyNumberFormat="1" applyFont="1" applyFill="1" applyAlignment="1">
      <alignment horizontal="right"/>
    </xf>
    <xf numFmtId="3" fontId="17" fillId="4" borderId="0" xfId="0" applyNumberFormat="1" applyFont="1" applyFill="1" applyAlignment="1">
      <alignment horizontal="right"/>
    </xf>
    <xf numFmtId="3" fontId="17" fillId="5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right"/>
    </xf>
    <xf numFmtId="3" fontId="17" fillId="3" borderId="0" xfId="0" applyNumberFormat="1" applyFont="1" applyFill="1"/>
    <xf numFmtId="3" fontId="12" fillId="9" borderId="1" xfId="0" applyNumberFormat="1" applyFont="1" applyFill="1" applyBorder="1"/>
    <xf numFmtId="3" fontId="18" fillId="2" borderId="0" xfId="0" applyNumberFormat="1" applyFont="1" applyFill="1" applyAlignment="1">
      <alignment horizontal="right"/>
    </xf>
    <xf numFmtId="3" fontId="19" fillId="0" borderId="0" xfId="0" applyNumberFormat="1" applyFont="1" applyAlignment="1">
      <alignment horizontal="right"/>
    </xf>
    <xf numFmtId="3" fontId="18" fillId="4" borderId="0" xfId="0" applyNumberFormat="1" applyFont="1" applyFill="1" applyAlignment="1">
      <alignment horizontal="right"/>
    </xf>
    <xf numFmtId="3" fontId="18" fillId="0" borderId="0" xfId="0" applyNumberFormat="1" applyFont="1" applyAlignment="1">
      <alignment horizontal="right"/>
    </xf>
    <xf numFmtId="0" fontId="0" fillId="0" borderId="22" xfId="0" applyBorder="1"/>
    <xf numFmtId="0" fontId="0" fillId="0" borderId="13" xfId="0" applyBorder="1"/>
    <xf numFmtId="0" fontId="0" fillId="0" borderId="23" xfId="0" applyBorder="1"/>
    <xf numFmtId="167" fontId="0" fillId="0" borderId="23" xfId="0" applyNumberFormat="1" applyBorder="1"/>
    <xf numFmtId="0" fontId="0" fillId="0" borderId="24" xfId="0" applyBorder="1"/>
    <xf numFmtId="0" fontId="0" fillId="0" borderId="20" xfId="0" applyBorder="1"/>
    <xf numFmtId="169" fontId="0" fillId="0" borderId="0" xfId="2" applyNumberFormat="1" applyFont="1" applyAlignment="1">
      <alignment horizontal="center"/>
    </xf>
    <xf numFmtId="169" fontId="12" fillId="0" borderId="0" xfId="2" applyNumberFormat="1" applyFont="1"/>
    <xf numFmtId="169" fontId="1" fillId="9" borderId="1" xfId="0" applyNumberFormat="1" applyFont="1" applyFill="1" applyBorder="1"/>
    <xf numFmtId="3" fontId="1" fillId="4" borderId="0" xfId="0" applyNumberFormat="1" applyFont="1" applyFill="1" applyAlignment="1">
      <alignment vertical="top" wrapText="1"/>
    </xf>
    <xf numFmtId="165" fontId="1" fillId="4" borderId="0" xfId="0" quotePrefix="1" applyNumberFormat="1" applyFont="1" applyFill="1" applyAlignment="1">
      <alignment horizontal="right"/>
    </xf>
    <xf numFmtId="3" fontId="0" fillId="4" borderId="0" xfId="0" applyNumberFormat="1" applyFill="1" applyAlignment="1">
      <alignment vertical="top" wrapText="1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3" borderId="10" xfId="0" applyFill="1" applyBorder="1" applyAlignment="1">
      <alignment horizontal="left" wrapText="1"/>
    </xf>
    <xf numFmtId="0" fontId="0" fillId="3" borderId="13" xfId="0" applyFill="1" applyBorder="1" applyAlignment="1">
      <alignment horizontal="center"/>
    </xf>
    <xf numFmtId="164" fontId="0" fillId="0" borderId="23" xfId="2" applyFont="1" applyBorder="1"/>
    <xf numFmtId="0" fontId="0" fillId="3" borderId="13" xfId="0" applyFill="1" applyBorder="1" applyAlignment="1">
      <alignment horizontal="left" wrapText="1"/>
    </xf>
    <xf numFmtId="164" fontId="1" fillId="0" borderId="0" xfId="2" applyFont="1"/>
    <xf numFmtId="14" fontId="0" fillId="0" borderId="0" xfId="0" applyNumberFormat="1" applyAlignment="1">
      <alignment horizontal="left"/>
    </xf>
    <xf numFmtId="3" fontId="21" fillId="0" borderId="0" xfId="0" applyNumberFormat="1" applyFont="1"/>
    <xf numFmtId="3" fontId="22" fillId="0" borderId="0" xfId="0" applyNumberFormat="1" applyFont="1"/>
    <xf numFmtId="3" fontId="19" fillId="0" borderId="0" xfId="0" applyNumberFormat="1" applyFont="1"/>
    <xf numFmtId="3" fontId="20" fillId="0" borderId="0" xfId="0" applyNumberFormat="1" applyFont="1"/>
    <xf numFmtId="3" fontId="23" fillId="0" borderId="0" xfId="0" applyNumberFormat="1" applyFont="1"/>
    <xf numFmtId="3" fontId="19" fillId="10" borderId="0" xfId="0" applyNumberFormat="1" applyFont="1" applyFill="1" applyAlignment="1">
      <alignment horizontal="right"/>
    </xf>
    <xf numFmtId="3" fontId="18" fillId="10" borderId="0" xfId="0" applyNumberFormat="1" applyFont="1" applyFill="1" applyAlignment="1">
      <alignment horizontal="right"/>
    </xf>
    <xf numFmtId="0" fontId="20" fillId="0" borderId="0" xfId="0" applyFont="1"/>
    <xf numFmtId="3" fontId="18" fillId="3" borderId="0" xfId="0" applyNumberFormat="1" applyFont="1" applyFill="1" applyAlignment="1">
      <alignment horizontal="right"/>
    </xf>
    <xf numFmtId="3" fontId="18" fillId="0" borderId="0" xfId="0" applyNumberFormat="1" applyFont="1"/>
    <xf numFmtId="49" fontId="19" fillId="0" borderId="0" xfId="0" applyNumberFormat="1" applyFont="1"/>
    <xf numFmtId="49" fontId="18" fillId="0" borderId="0" xfId="0" applyNumberFormat="1" applyFont="1"/>
    <xf numFmtId="165" fontId="24" fillId="4" borderId="0" xfId="0" quotePrefix="1" applyNumberFormat="1" applyFont="1" applyFill="1" applyAlignment="1">
      <alignment horizontal="right"/>
    </xf>
    <xf numFmtId="0" fontId="20" fillId="0" borderId="0" xfId="0" applyFont="1" applyAlignment="1">
      <alignment vertical="top" wrapText="1"/>
    </xf>
    <xf numFmtId="3" fontId="11" fillId="0" borderId="1" xfId="0" applyNumberFormat="1" applyFont="1" applyBorder="1"/>
    <xf numFmtId="3" fontId="12" fillId="9" borderId="0" xfId="0" applyNumberFormat="1" applyFont="1" applyFill="1"/>
    <xf numFmtId="169" fontId="12" fillId="0" borderId="0" xfId="0" applyNumberFormat="1" applyFont="1"/>
    <xf numFmtId="164" fontId="0" fillId="0" borderId="0" xfId="0" applyNumberFormat="1"/>
    <xf numFmtId="169" fontId="0" fillId="0" borderId="13" xfId="2" applyNumberFormat="1" applyFont="1" applyBorder="1"/>
    <xf numFmtId="169" fontId="0" fillId="0" borderId="0" xfId="2" applyNumberFormat="1" applyFont="1" applyAlignment="1">
      <alignment vertical="top" wrapText="1"/>
    </xf>
    <xf numFmtId="3" fontId="17" fillId="2" borderId="0" xfId="0" applyNumberFormat="1" applyFont="1" applyFill="1"/>
    <xf numFmtId="3" fontId="17" fillId="10" borderId="0" xfId="0" applyNumberFormat="1" applyFont="1" applyFill="1" applyAlignment="1">
      <alignment horizontal="right"/>
    </xf>
    <xf numFmtId="0" fontId="24" fillId="0" borderId="0" xfId="0" applyFont="1"/>
    <xf numFmtId="3" fontId="25" fillId="2" borderId="0" xfId="0" quotePrefix="1" applyNumberFormat="1" applyFont="1" applyFill="1" applyAlignment="1">
      <alignment horizontal="right"/>
    </xf>
    <xf numFmtId="3" fontId="6" fillId="4" borderId="0" xfId="0" applyNumberFormat="1" applyFont="1" applyFill="1"/>
    <xf numFmtId="3" fontId="7" fillId="4" borderId="0" xfId="0" applyNumberFormat="1" applyFont="1" applyFill="1"/>
    <xf numFmtId="164" fontId="0" fillId="0" borderId="14" xfId="2" applyFont="1" applyBorder="1"/>
    <xf numFmtId="164" fontId="0" fillId="0" borderId="0" xfId="2" applyFont="1" applyAlignment="1">
      <alignment horizontal="center"/>
    </xf>
    <xf numFmtId="164" fontId="0" fillId="0" borderId="13" xfId="2" applyFont="1" applyBorder="1"/>
    <xf numFmtId="164" fontId="0" fillId="0" borderId="13" xfId="0" applyNumberFormat="1" applyBorder="1"/>
    <xf numFmtId="164" fontId="0" fillId="0" borderId="22" xfId="0" applyNumberFormat="1" applyBorder="1"/>
    <xf numFmtId="164" fontId="12" fillId="0" borderId="0" xfId="0" applyNumberFormat="1" applyFont="1"/>
    <xf numFmtId="164" fontId="1" fillId="0" borderId="0" xfId="2" quotePrefix="1" applyFont="1"/>
    <xf numFmtId="3" fontId="17" fillId="4" borderId="0" xfId="0" applyNumberFormat="1" applyFont="1" applyFill="1"/>
    <xf numFmtId="3" fontId="17" fillId="0" borderId="0" xfId="0" applyNumberFormat="1" applyFont="1"/>
    <xf numFmtId="169" fontId="12" fillId="4" borderId="0" xfId="2" applyNumberFormat="1" applyFont="1" applyFill="1"/>
    <xf numFmtId="169" fontId="7" fillId="0" borderId="0" xfId="2" applyNumberFormat="1" applyFont="1"/>
    <xf numFmtId="3" fontId="11" fillId="0" borderId="25" xfId="0" applyNumberFormat="1" applyFont="1" applyBorder="1"/>
    <xf numFmtId="3" fontId="11" fillId="4" borderId="26" xfId="0" applyNumberFormat="1" applyFont="1" applyFill="1" applyBorder="1"/>
    <xf numFmtId="3" fontId="10" fillId="0" borderId="27" xfId="0" applyNumberFormat="1" applyFont="1" applyBorder="1"/>
    <xf numFmtId="3" fontId="11" fillId="4" borderId="29" xfId="0" applyNumberFormat="1" applyFont="1" applyFill="1" applyBorder="1"/>
    <xf numFmtId="3" fontId="11" fillId="0" borderId="28" xfId="0" applyNumberFormat="1" applyFont="1" applyBorder="1"/>
    <xf numFmtId="3" fontId="10" fillId="0" borderId="28" xfId="0" applyNumberFormat="1" applyFont="1" applyBorder="1"/>
    <xf numFmtId="3" fontId="10" fillId="0" borderId="30" xfId="0" applyNumberFormat="1" applyFont="1" applyBorder="1"/>
    <xf numFmtId="165" fontId="27" fillId="3" borderId="0" xfId="0" quotePrefix="1" applyNumberFormat="1" applyFont="1" applyFill="1" applyAlignment="1">
      <alignment horizontal="right"/>
    </xf>
    <xf numFmtId="169" fontId="7" fillId="0" borderId="0" xfId="2" applyNumberFormat="1" applyFont="1" applyAlignment="1">
      <alignment horizontal="right" vertical="top" wrapText="1"/>
    </xf>
    <xf numFmtId="164" fontId="0" fillId="8" borderId="0" xfId="0" applyNumberFormat="1" applyFill="1"/>
    <xf numFmtId="0" fontId="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3" borderId="6" xfId="0" applyFill="1" applyBorder="1" applyAlignment="1">
      <alignment wrapText="1"/>
    </xf>
    <xf numFmtId="0" fontId="0" fillId="0" borderId="11" xfId="0" applyBorder="1" applyAlignment="1">
      <alignment wrapText="1"/>
    </xf>
    <xf numFmtId="3" fontId="7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3" borderId="11" xfId="0" applyFill="1" applyBorder="1" applyAlignment="1">
      <alignment wrapText="1"/>
    </xf>
    <xf numFmtId="0" fontId="0" fillId="4" borderId="0" xfId="0" applyFill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857250</xdr:colOff>
      <xdr:row>12</xdr:row>
      <xdr:rowOff>21981</xdr:rowOff>
    </xdr:from>
    <xdr:to>
      <xdr:col>9</xdr:col>
      <xdr:colOff>7327</xdr:colOff>
      <xdr:row>15</xdr:row>
      <xdr:rowOff>0</xdr:rowOff>
    </xdr:to>
    <xdr:cxnSp macro="">
      <xdr:nvCxnSpPr>
        <xdr:cNvPr id="2" name="Ra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flipV="1">
          <a:off x="5705475" y="2508006"/>
          <a:ext cx="1064602" cy="578094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/Documents/Eva/Eva/St&#246;ren/Resultat%20och%20Balansr&#228;kning%202013%20&#197;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_Bal"/>
      <sheetName val="Noter"/>
    </sheetNames>
    <sheetDataSet>
      <sheetData sheetId="0"/>
      <sheetData sheetId="1">
        <row r="20">
          <cell r="F20">
            <v>1542051</v>
          </cell>
        </row>
        <row r="26">
          <cell r="F26">
            <v>21283</v>
          </cell>
        </row>
        <row r="29">
          <cell r="F29">
            <v>11675</v>
          </cell>
        </row>
        <row r="33">
          <cell r="F33">
            <v>22201</v>
          </cell>
        </row>
        <row r="37">
          <cell r="F37">
            <v>9884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6"/>
  <sheetViews>
    <sheetView zoomScaleNormal="100" workbookViewId="0">
      <selection activeCell="T30" sqref="T30"/>
    </sheetView>
  </sheetViews>
  <sheetFormatPr defaultColWidth="9.140625" defaultRowHeight="15.75" x14ac:dyDescent="0.25"/>
  <cols>
    <col min="1" max="1" width="34.28515625" style="2" customWidth="1"/>
    <col min="2" max="3" width="13.7109375" style="135" customWidth="1"/>
    <col min="4" max="4" width="4.7109375" style="35" customWidth="1"/>
    <col min="5" max="5" width="13.7109375" style="35" customWidth="1"/>
    <col min="6" max="6" width="4.7109375" style="35" customWidth="1"/>
    <col min="7" max="7" width="13.85546875" style="35" customWidth="1"/>
    <col min="8" max="8" width="4.140625" style="2" customWidth="1"/>
    <col min="9" max="9" width="13.5703125" style="35" hidden="1" customWidth="1"/>
    <col min="10" max="10" width="8.85546875" style="2" hidden="1" customWidth="1"/>
    <col min="11" max="11" width="16" style="35" hidden="1" customWidth="1"/>
    <col min="12" max="12" width="6" style="2" hidden="1" customWidth="1"/>
    <col min="13" max="13" width="16" style="35" hidden="1" customWidth="1"/>
    <col min="14" max="14" width="8.28515625" style="27" hidden="1" customWidth="1"/>
    <col min="15" max="15" width="15" style="2" hidden="1" customWidth="1"/>
    <col min="16" max="16" width="1.5703125" style="2" hidden="1" customWidth="1"/>
    <col min="17" max="17" width="34.28515625" style="2" hidden="1" customWidth="1"/>
    <col min="18" max="18" width="36.28515625" style="2" customWidth="1"/>
    <col min="19" max="19" width="9.28515625" style="2" customWidth="1"/>
    <col min="20" max="20" width="13.7109375" style="160" customWidth="1"/>
    <col min="21" max="21" width="3.7109375" style="160" customWidth="1"/>
    <col min="22" max="22" width="13.7109375" style="160" customWidth="1"/>
    <col min="23" max="23" width="2.5703125" style="4" customWidth="1"/>
    <col min="24" max="24" width="13.7109375" style="4" customWidth="1"/>
    <col min="25" max="25" width="2.5703125" style="4" customWidth="1"/>
    <col min="26" max="26" width="13.28515625" style="4" customWidth="1"/>
    <col min="27" max="27" width="10.85546875" style="2" hidden="1" customWidth="1"/>
    <col min="28" max="28" width="11.7109375" style="4" hidden="1" customWidth="1"/>
    <col min="29" max="29" width="2.7109375" style="2" hidden="1" customWidth="1"/>
    <col min="30" max="30" width="14" style="4" hidden="1" customWidth="1"/>
    <col min="31" max="31" width="12.28515625" style="2" hidden="1" customWidth="1"/>
    <col min="32" max="32" width="15.85546875" style="4" hidden="1" customWidth="1"/>
    <col min="33" max="33" width="13.28515625" style="4" hidden="1" customWidth="1"/>
    <col min="34" max="34" width="15.85546875" style="2" hidden="1" customWidth="1"/>
    <col min="35" max="35" width="2" style="2" hidden="1" customWidth="1"/>
    <col min="36" max="36" width="8.85546875" style="2" customWidth="1"/>
    <col min="37" max="38" width="9.140625" style="2"/>
    <col min="39" max="39" width="13.85546875" style="2" customWidth="1"/>
    <col min="40" max="16384" width="9.140625" style="2"/>
  </cols>
  <sheetData>
    <row r="1" spans="1:45" ht="21" x14ac:dyDescent="0.35">
      <c r="A1" s="1" t="s">
        <v>0</v>
      </c>
      <c r="B1" s="137"/>
      <c r="C1" s="137"/>
      <c r="D1" s="32"/>
      <c r="E1" s="32"/>
      <c r="F1" s="32"/>
      <c r="G1" s="32"/>
      <c r="H1" s="1"/>
      <c r="I1" s="32"/>
      <c r="J1" s="1"/>
      <c r="K1" s="32"/>
      <c r="L1" s="1"/>
      <c r="M1" s="32"/>
      <c r="R1" s="1" t="s">
        <v>1</v>
      </c>
      <c r="S1" s="1"/>
      <c r="T1" s="167"/>
      <c r="U1" s="167"/>
      <c r="V1" s="167"/>
      <c r="W1" s="18"/>
      <c r="X1" s="18"/>
      <c r="Y1" s="18"/>
      <c r="Z1" s="18"/>
      <c r="AA1" s="1"/>
      <c r="AB1" s="18"/>
      <c r="AC1" s="1"/>
      <c r="AD1" s="18"/>
      <c r="AE1" s="1"/>
      <c r="AF1" s="18"/>
      <c r="AG1" s="18"/>
    </row>
    <row r="2" spans="1:45" ht="18.75" x14ac:dyDescent="0.3">
      <c r="A2" s="3" t="s">
        <v>151</v>
      </c>
      <c r="H2" s="3"/>
      <c r="J2" s="3"/>
      <c r="L2" s="3"/>
      <c r="R2" s="3" t="s">
        <v>151</v>
      </c>
      <c r="S2" s="3"/>
      <c r="AA2" s="3"/>
      <c r="AC2" s="3"/>
      <c r="AE2" s="3"/>
    </row>
    <row r="3" spans="1:45" x14ac:dyDescent="0.25">
      <c r="A3" s="4" t="s">
        <v>150</v>
      </c>
      <c r="H3" s="4"/>
      <c r="J3" s="4"/>
      <c r="L3" s="4"/>
      <c r="R3" s="4" t="s">
        <v>150</v>
      </c>
      <c r="S3" s="4"/>
      <c r="AA3" s="4"/>
      <c r="AC3" s="4"/>
      <c r="AE3" s="4"/>
    </row>
    <row r="4" spans="1:45" x14ac:dyDescent="0.25">
      <c r="A4" s="4" t="s">
        <v>230</v>
      </c>
      <c r="H4" s="4"/>
      <c r="J4" s="4"/>
      <c r="L4" s="4"/>
      <c r="R4" s="5" t="s">
        <v>231</v>
      </c>
      <c r="S4" s="5"/>
      <c r="T4" s="168"/>
      <c r="U4" s="168"/>
      <c r="V4" s="168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45" x14ac:dyDescent="0.25">
      <c r="R5" s="6"/>
      <c r="S5" s="6"/>
      <c r="T5" s="169"/>
      <c r="U5" s="169"/>
      <c r="V5" s="169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45" ht="18.75" x14ac:dyDescent="0.3">
      <c r="A6" s="7" t="s">
        <v>6</v>
      </c>
      <c r="B6" s="137"/>
      <c r="C6" s="137"/>
      <c r="D6" s="32"/>
      <c r="E6" s="32"/>
      <c r="F6" s="32"/>
      <c r="G6" s="32"/>
      <c r="H6" s="7"/>
      <c r="I6" s="32"/>
      <c r="J6" s="7"/>
      <c r="K6" s="32"/>
      <c r="L6" s="7"/>
      <c r="M6" s="32"/>
      <c r="R6" s="7" t="s">
        <v>7</v>
      </c>
      <c r="S6" s="7"/>
      <c r="T6" s="167"/>
      <c r="U6" s="167"/>
      <c r="V6" s="167"/>
      <c r="W6" s="18"/>
      <c r="X6" s="18"/>
      <c r="Y6" s="18"/>
      <c r="Z6" s="18"/>
      <c r="AA6" s="7"/>
      <c r="AB6" s="18"/>
      <c r="AC6" s="7"/>
      <c r="AD6" s="18"/>
      <c r="AE6" s="7"/>
      <c r="AF6" s="18"/>
      <c r="AG6" s="18"/>
      <c r="AI6" s="8"/>
    </row>
    <row r="7" spans="1:45" ht="18.75" x14ac:dyDescent="0.3">
      <c r="A7" s="9" t="s">
        <v>8</v>
      </c>
      <c r="B7" s="130" t="s">
        <v>228</v>
      </c>
      <c r="C7" s="130" t="s">
        <v>210</v>
      </c>
      <c r="D7" s="10"/>
      <c r="E7" s="10" t="s">
        <v>186</v>
      </c>
      <c r="F7" s="10"/>
      <c r="G7" s="10" t="s">
        <v>179</v>
      </c>
      <c r="H7" s="9"/>
      <c r="I7" s="10" t="s">
        <v>148</v>
      </c>
      <c r="J7" s="9"/>
      <c r="K7" s="10" t="s">
        <v>141</v>
      </c>
      <c r="L7" s="9"/>
      <c r="M7" s="10" t="s">
        <v>133</v>
      </c>
      <c r="N7" s="10"/>
      <c r="O7" s="10" t="s">
        <v>119</v>
      </c>
      <c r="P7" s="32"/>
      <c r="R7" s="11" t="s">
        <v>10</v>
      </c>
      <c r="S7" s="11"/>
      <c r="T7" s="181" t="s">
        <v>229</v>
      </c>
      <c r="U7" s="181"/>
      <c r="V7" s="181" t="s">
        <v>211</v>
      </c>
      <c r="W7" s="102"/>
      <c r="X7" s="102" t="s">
        <v>183</v>
      </c>
      <c r="Y7" s="102"/>
      <c r="Z7" s="102" t="s">
        <v>180</v>
      </c>
      <c r="AA7" s="11"/>
      <c r="AB7" s="102" t="s">
        <v>149</v>
      </c>
      <c r="AC7" s="11"/>
      <c r="AD7" s="102" t="s">
        <v>144</v>
      </c>
      <c r="AE7" s="11"/>
      <c r="AF7" s="102" t="s">
        <v>145</v>
      </c>
      <c r="AG7" s="26"/>
      <c r="AH7" s="26" t="s">
        <v>120</v>
      </c>
      <c r="AI7" s="13"/>
      <c r="AJ7" s="14"/>
    </row>
    <row r="8" spans="1:45" s="14" customFormat="1" x14ac:dyDescent="0.25">
      <c r="A8" s="2" t="s">
        <v>11</v>
      </c>
      <c r="B8" s="104">
        <v>139020</v>
      </c>
      <c r="C8" s="104">
        <v>139020</v>
      </c>
      <c r="D8" s="35"/>
      <c r="E8" s="35">
        <v>139020</v>
      </c>
      <c r="F8" s="35"/>
      <c r="G8" s="35">
        <v>139020</v>
      </c>
      <c r="H8" s="2"/>
      <c r="I8" s="35">
        <v>139020</v>
      </c>
      <c r="J8" s="2"/>
      <c r="K8" s="35">
        <v>139020</v>
      </c>
      <c r="L8" s="2"/>
      <c r="M8" s="35">
        <v>139020</v>
      </c>
      <c r="N8" s="28"/>
      <c r="O8" s="35">
        <v>139020</v>
      </c>
      <c r="P8" s="4"/>
      <c r="Q8" s="2"/>
      <c r="R8" s="2" t="s">
        <v>12</v>
      </c>
      <c r="S8" s="2" t="s">
        <v>66</v>
      </c>
      <c r="T8" s="106">
        <f>8964890-583029-60418-60418-60418-60418</f>
        <v>8140189</v>
      </c>
      <c r="U8" s="106"/>
      <c r="V8" s="106">
        <f>8964890-583029-60418-60418-60418</f>
        <v>8200607</v>
      </c>
      <c r="W8" s="106"/>
      <c r="X8" s="106">
        <f>8964890-583029-60418-60418</f>
        <v>8261025</v>
      </c>
      <c r="Y8" s="106"/>
      <c r="Z8" s="106">
        <f>8964890-583029-60418</f>
        <v>8321443</v>
      </c>
      <c r="AA8" s="2"/>
      <c r="AB8" s="106">
        <f>8964890-583029</f>
        <v>8381861</v>
      </c>
      <c r="AC8" s="2"/>
      <c r="AD8" s="4">
        <f>8964890-522611</f>
        <v>8442279</v>
      </c>
      <c r="AE8" s="2"/>
      <c r="AF8" s="4">
        <f>8964890-462193</f>
        <v>8502697</v>
      </c>
      <c r="AG8" s="4"/>
      <c r="AH8" s="4">
        <v>8563115</v>
      </c>
      <c r="AI8" s="4"/>
      <c r="AJ8" s="2"/>
    </row>
    <row r="9" spans="1:45" s="14" customFormat="1" ht="16.5" thickBot="1" x14ac:dyDescent="0.3">
      <c r="A9" s="16" t="s">
        <v>15</v>
      </c>
      <c r="B9" s="127">
        <v>139020</v>
      </c>
      <c r="C9" s="127">
        <v>139020</v>
      </c>
      <c r="D9" s="33"/>
      <c r="E9" s="33">
        <v>139020</v>
      </c>
      <c r="F9" s="33"/>
      <c r="G9" s="33">
        <v>139020</v>
      </c>
      <c r="H9" s="16"/>
      <c r="I9" s="33">
        <v>139020</v>
      </c>
      <c r="J9" s="16"/>
      <c r="K9" s="33">
        <v>139020</v>
      </c>
      <c r="L9" s="16"/>
      <c r="M9" s="33">
        <v>139020</v>
      </c>
      <c r="N9" s="29"/>
      <c r="O9" s="16">
        <v>139020</v>
      </c>
      <c r="P9" s="4"/>
      <c r="Q9" s="2"/>
      <c r="R9" s="2" t="s">
        <v>14</v>
      </c>
      <c r="S9" s="2" t="s">
        <v>88</v>
      </c>
      <c r="T9" s="106">
        <v>1542051</v>
      </c>
      <c r="U9" s="106"/>
      <c r="V9" s="106">
        <v>1542051</v>
      </c>
      <c r="W9" s="4"/>
      <c r="X9" s="4">
        <v>1542051</v>
      </c>
      <c r="Y9" s="4"/>
      <c r="Z9" s="4">
        <v>1542051</v>
      </c>
      <c r="AA9" s="2"/>
      <c r="AB9" s="4">
        <v>1542051</v>
      </c>
      <c r="AC9" s="2"/>
      <c r="AD9" s="4">
        <v>1542051</v>
      </c>
      <c r="AE9" s="2"/>
      <c r="AF9" s="4">
        <v>1542051</v>
      </c>
      <c r="AG9" s="4"/>
      <c r="AH9" s="4">
        <v>1542051</v>
      </c>
      <c r="AI9" s="15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s="14" customFormat="1" ht="17.25" thickTop="1" thickBot="1" x14ac:dyDescent="0.3">
      <c r="A10" s="16"/>
      <c r="B10" s="127"/>
      <c r="C10" s="127"/>
      <c r="D10" s="33"/>
      <c r="E10" s="33"/>
      <c r="F10" s="33"/>
      <c r="G10" s="33"/>
      <c r="H10" s="16"/>
      <c r="I10" s="33"/>
      <c r="J10" s="16"/>
      <c r="K10" s="33"/>
      <c r="L10" s="16"/>
      <c r="M10" s="33"/>
      <c r="N10" s="29"/>
      <c r="O10" s="16"/>
      <c r="P10" s="4"/>
      <c r="Q10" s="2"/>
      <c r="R10" s="2" t="s">
        <v>187</v>
      </c>
      <c r="S10" s="2" t="s">
        <v>94</v>
      </c>
      <c r="T10" s="107">
        <f>75118.3-13842.07</f>
        <v>61276.23</v>
      </c>
      <c r="U10" s="107"/>
      <c r="V10" s="107">
        <v>75118.12</v>
      </c>
      <c r="W10" s="15"/>
      <c r="X10" s="15">
        <f>49375-4937.5</f>
        <v>44437.5</v>
      </c>
      <c r="Y10" s="15"/>
      <c r="Z10" s="15"/>
      <c r="AA10" s="2"/>
      <c r="AB10" s="15"/>
      <c r="AC10" s="2"/>
      <c r="AD10" s="15"/>
      <c r="AE10" s="2"/>
      <c r="AF10" s="15"/>
      <c r="AG10" s="4"/>
      <c r="AH10" s="15"/>
      <c r="AI10" s="4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ht="16.5" thickTop="1" x14ac:dyDescent="0.25">
      <c r="A11" s="23"/>
      <c r="B11" s="128"/>
      <c r="C11" s="128"/>
      <c r="D11" s="36"/>
      <c r="E11" s="36"/>
      <c r="F11" s="36"/>
      <c r="G11" s="36"/>
      <c r="H11" s="23"/>
      <c r="I11" s="36"/>
      <c r="J11" s="23"/>
      <c r="K11" s="36"/>
      <c r="L11" s="23"/>
      <c r="M11" s="36"/>
      <c r="N11" s="30"/>
      <c r="O11" s="23"/>
      <c r="P11" s="18"/>
      <c r="R11" s="17" t="s">
        <v>16</v>
      </c>
      <c r="S11" s="17"/>
      <c r="T11" s="132">
        <f>T8+T9+T10</f>
        <v>9743516.2300000004</v>
      </c>
      <c r="U11" s="132"/>
      <c r="V11" s="132">
        <f>V8+V9+V10</f>
        <v>9817776.1199999992</v>
      </c>
      <c r="W11" s="16"/>
      <c r="X11" s="16">
        <f>X8+X9+X10</f>
        <v>9847513.5</v>
      </c>
      <c r="Y11" s="16"/>
      <c r="Z11" s="16">
        <f>Z8+Z9</f>
        <v>9863494</v>
      </c>
      <c r="AA11" s="17"/>
      <c r="AB11" s="16">
        <f>AB8+AB9</f>
        <v>9923912</v>
      </c>
      <c r="AC11" s="17"/>
      <c r="AD11" s="16">
        <f>AD8+AD9</f>
        <v>9984330</v>
      </c>
      <c r="AE11" s="17"/>
      <c r="AF11" s="16">
        <f>AF8+AF9</f>
        <v>10044748</v>
      </c>
      <c r="AG11" s="16"/>
      <c r="AH11" s="16">
        <v>10105166</v>
      </c>
      <c r="AI11" s="16"/>
    </row>
    <row r="12" spans="1:45" s="25" customFormat="1" x14ac:dyDescent="0.25">
      <c r="A12" s="18"/>
      <c r="B12" s="131"/>
      <c r="C12" s="131"/>
      <c r="D12" s="32"/>
      <c r="E12" s="32"/>
      <c r="F12" s="32"/>
      <c r="G12" s="32"/>
      <c r="H12" s="18"/>
      <c r="I12" s="32"/>
      <c r="J12" s="18"/>
      <c r="K12" s="32"/>
      <c r="L12" s="18"/>
      <c r="M12" s="32"/>
      <c r="N12" s="31"/>
      <c r="O12" s="18"/>
      <c r="P12" s="18"/>
      <c r="R12" s="24"/>
      <c r="S12" s="24"/>
      <c r="T12" s="191"/>
      <c r="U12" s="191"/>
      <c r="V12" s="191"/>
      <c r="W12" s="23"/>
      <c r="X12" s="23"/>
      <c r="Y12" s="23"/>
      <c r="Z12" s="23"/>
      <c r="AA12" s="24"/>
      <c r="AB12" s="23"/>
      <c r="AC12" s="24"/>
      <c r="AD12" s="23"/>
      <c r="AE12" s="24"/>
      <c r="AF12" s="23"/>
      <c r="AG12" s="23"/>
      <c r="AH12" s="23"/>
      <c r="AI12" s="23"/>
    </row>
    <row r="13" spans="1:45" ht="18.75" x14ac:dyDescent="0.3">
      <c r="A13" s="7" t="s">
        <v>17</v>
      </c>
      <c r="B13" s="131"/>
      <c r="C13" s="131"/>
      <c r="D13" s="32"/>
      <c r="E13" s="32"/>
      <c r="F13" s="32"/>
      <c r="G13" s="32"/>
      <c r="H13" s="7"/>
      <c r="I13" s="32"/>
      <c r="J13" s="7"/>
      <c r="K13" s="32"/>
      <c r="L13" s="7"/>
      <c r="M13" s="32"/>
      <c r="O13" s="4"/>
      <c r="P13" s="18"/>
      <c r="R13" s="11" t="s">
        <v>19</v>
      </c>
      <c r="S13" s="11"/>
      <c r="T13" s="178"/>
      <c r="U13" s="178"/>
      <c r="V13" s="178"/>
      <c r="W13" s="9"/>
      <c r="X13" s="9"/>
      <c r="Y13" s="9"/>
      <c r="Z13" s="9"/>
      <c r="AA13" s="11"/>
      <c r="AB13" s="9"/>
      <c r="AC13" s="11"/>
      <c r="AD13" s="9"/>
      <c r="AE13" s="11"/>
      <c r="AF13" s="9"/>
      <c r="AG13" s="9"/>
      <c r="AH13" s="13"/>
      <c r="AI13" s="13"/>
    </row>
    <row r="14" spans="1:45" s="14" customFormat="1" x14ac:dyDescent="0.25">
      <c r="A14" s="9" t="s">
        <v>18</v>
      </c>
      <c r="B14" s="130"/>
      <c r="C14" s="130"/>
      <c r="D14" s="10"/>
      <c r="E14" s="10"/>
      <c r="F14" s="10"/>
      <c r="G14" s="10"/>
      <c r="H14" s="9"/>
      <c r="I14" s="10"/>
      <c r="J14" s="9"/>
      <c r="K14" s="10"/>
      <c r="L14" s="9"/>
      <c r="M14" s="10"/>
      <c r="N14" s="10"/>
      <c r="O14" s="13"/>
      <c r="P14" s="4"/>
      <c r="Q14" s="2"/>
      <c r="R14" s="2" t="s">
        <v>21</v>
      </c>
      <c r="S14" s="2"/>
      <c r="T14" s="106">
        <v>50686.29</v>
      </c>
      <c r="U14" s="106"/>
      <c r="V14" s="106">
        <v>30858.1</v>
      </c>
      <c r="W14" s="106"/>
      <c r="X14" s="106">
        <v>92465.97</v>
      </c>
      <c r="Y14" s="106"/>
      <c r="Z14" s="106">
        <v>105285.97</v>
      </c>
      <c r="AA14" s="2"/>
      <c r="AB14" s="106">
        <f>57039+7213.47</f>
        <v>64252.47</v>
      </c>
      <c r="AC14" s="2"/>
      <c r="AD14" s="4">
        <v>30802</v>
      </c>
      <c r="AE14" s="2"/>
      <c r="AF14" s="4">
        <v>82857</v>
      </c>
      <c r="AG14" s="4"/>
      <c r="AH14" s="4">
        <v>28090</v>
      </c>
      <c r="AI14" s="4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s="14" customFormat="1" x14ac:dyDescent="0.25">
      <c r="A15" s="2" t="s">
        <v>24</v>
      </c>
      <c r="B15" s="104">
        <f>-7725</f>
        <v>-7725</v>
      </c>
      <c r="C15" s="104">
        <f>-27291-4477</f>
        <v>-31768</v>
      </c>
      <c r="D15" s="104"/>
      <c r="E15" s="104">
        <f>-5614-700</f>
        <v>-6314</v>
      </c>
      <c r="F15" s="104"/>
      <c r="G15" s="104">
        <f>-2120-1219-2003</f>
        <v>-5342</v>
      </c>
      <c r="H15" s="2"/>
      <c r="I15" s="104">
        <f>-2069-5983-3000-1025.03</f>
        <v>-12077.03</v>
      </c>
      <c r="J15" s="2"/>
      <c r="K15" s="35">
        <f>-55525-19208-3662-600</f>
        <v>-78995</v>
      </c>
      <c r="L15" s="2"/>
      <c r="M15" s="35">
        <v>-3106</v>
      </c>
      <c r="N15" s="28"/>
      <c r="O15" s="35">
        <v>-26444</v>
      </c>
      <c r="P15" s="4"/>
      <c r="Q15" s="2"/>
      <c r="R15" s="2" t="s">
        <v>152</v>
      </c>
      <c r="S15" s="2"/>
      <c r="T15" s="106">
        <v>0</v>
      </c>
      <c r="U15" s="106"/>
      <c r="V15" s="106">
        <v>0</v>
      </c>
      <c r="W15" s="4"/>
      <c r="X15" s="4">
        <v>0</v>
      </c>
      <c r="Y15" s="4"/>
      <c r="Z15" s="4">
        <v>0</v>
      </c>
      <c r="AA15" s="2"/>
      <c r="AB15" s="4">
        <v>0</v>
      </c>
      <c r="AC15" s="2"/>
      <c r="AD15" s="4">
        <v>0</v>
      </c>
      <c r="AE15" s="2"/>
      <c r="AF15" s="4">
        <v>0</v>
      </c>
      <c r="AG15" s="4"/>
      <c r="AH15" s="4">
        <v>0</v>
      </c>
      <c r="AI15" s="4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s="14" customFormat="1" x14ac:dyDescent="0.25">
      <c r="A16" s="2" t="s">
        <v>26</v>
      </c>
      <c r="B16" s="104">
        <v>-15133</v>
      </c>
      <c r="C16" s="104">
        <v>-15792</v>
      </c>
      <c r="D16" s="104"/>
      <c r="E16" s="104">
        <v>-13707</v>
      </c>
      <c r="F16" s="104"/>
      <c r="G16" s="104">
        <v>-12619</v>
      </c>
      <c r="H16" s="2"/>
      <c r="I16" s="104">
        <v>-12669</v>
      </c>
      <c r="J16" s="2"/>
      <c r="K16" s="35">
        <v>-9750</v>
      </c>
      <c r="L16" s="2"/>
      <c r="M16" s="35">
        <v>-9182</v>
      </c>
      <c r="N16" s="28"/>
      <c r="O16" s="35">
        <v>-10002</v>
      </c>
      <c r="P16" s="4"/>
      <c r="Q16" s="2"/>
      <c r="R16" s="17" t="s">
        <v>25</v>
      </c>
      <c r="S16" s="17"/>
      <c r="T16" s="132">
        <f>T14+T15</f>
        <v>50686.29</v>
      </c>
      <c r="U16" s="132"/>
      <c r="V16" s="132">
        <f>V14+V15</f>
        <v>30858.1</v>
      </c>
      <c r="W16" s="16"/>
      <c r="X16" s="16">
        <f>X14+X15</f>
        <v>92465.97</v>
      </c>
      <c r="Y16" s="16"/>
      <c r="Z16" s="16">
        <f>Z14+Z15</f>
        <v>105285.97</v>
      </c>
      <c r="AA16" s="17"/>
      <c r="AB16" s="16">
        <f>AB14+AB15</f>
        <v>64252.47</v>
      </c>
      <c r="AC16" s="17"/>
      <c r="AD16" s="16">
        <f>AD14+AD15</f>
        <v>30802</v>
      </c>
      <c r="AE16" s="17"/>
      <c r="AF16" s="16">
        <f>AF14+AF15</f>
        <v>82857</v>
      </c>
      <c r="AG16" s="16"/>
      <c r="AH16" s="16">
        <v>28090</v>
      </c>
      <c r="AI16" s="16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8" s="14" customFormat="1" x14ac:dyDescent="0.25">
      <c r="A17" s="2" t="s">
        <v>27</v>
      </c>
      <c r="B17" s="104">
        <v>-11920</v>
      </c>
      <c r="C17" s="104">
        <v>-13319</v>
      </c>
      <c r="D17" s="104"/>
      <c r="E17" s="104">
        <f>-8479-1761</f>
        <v>-10240</v>
      </c>
      <c r="F17" s="104"/>
      <c r="G17" s="104">
        <v>-10185</v>
      </c>
      <c r="H17" s="2"/>
      <c r="I17" s="104">
        <v>-10025</v>
      </c>
      <c r="J17" s="2"/>
      <c r="K17" s="35">
        <v>-6979</v>
      </c>
      <c r="L17" s="2"/>
      <c r="M17" s="35">
        <v>-11899</v>
      </c>
      <c r="N17" s="28"/>
      <c r="O17" s="35">
        <v>-7102</v>
      </c>
      <c r="P17" s="4"/>
      <c r="Q17" s="2"/>
      <c r="R17" s="19"/>
      <c r="S17" s="19"/>
      <c r="T17" s="192"/>
      <c r="U17" s="192"/>
      <c r="V17" s="192"/>
      <c r="W17" s="18"/>
      <c r="X17" s="18"/>
      <c r="Y17" s="18"/>
      <c r="Z17" s="18"/>
      <c r="AA17" s="19"/>
      <c r="AB17" s="18"/>
      <c r="AC17" s="19"/>
      <c r="AD17" s="18"/>
      <c r="AE17" s="19"/>
      <c r="AF17" s="18"/>
      <c r="AG17" s="18"/>
      <c r="AH17" s="18"/>
      <c r="AI17" s="18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8" s="14" customFormat="1" ht="18.75" x14ac:dyDescent="0.3">
      <c r="A18" s="2" t="s">
        <v>29</v>
      </c>
      <c r="B18" s="104">
        <v>-47582</v>
      </c>
      <c r="C18" s="104">
        <v>-47870</v>
      </c>
      <c r="D18" s="104"/>
      <c r="E18" s="104">
        <f>-37505-5393</f>
        <v>-42898</v>
      </c>
      <c r="F18" s="104"/>
      <c r="G18" s="104">
        <v>-42135</v>
      </c>
      <c r="H18" s="2"/>
      <c r="I18" s="104">
        <v>-42621</v>
      </c>
      <c r="J18" s="2"/>
      <c r="K18" s="35">
        <v>-41525</v>
      </c>
      <c r="L18" s="2"/>
      <c r="M18" s="35">
        <v>-36224</v>
      </c>
      <c r="N18" s="28"/>
      <c r="O18" s="35">
        <v>-38929</v>
      </c>
      <c r="P18" s="4"/>
      <c r="Q18" s="2"/>
      <c r="R18" s="20" t="s">
        <v>28</v>
      </c>
      <c r="S18" s="20"/>
      <c r="T18" s="132">
        <f>+T11+T16</f>
        <v>9794202.5199999996</v>
      </c>
      <c r="U18" s="132"/>
      <c r="V18" s="132">
        <f>+V11+V16</f>
        <v>9848634.2199999988</v>
      </c>
      <c r="W18" s="16"/>
      <c r="X18" s="16">
        <f>+X11+X16</f>
        <v>9939979.4700000007</v>
      </c>
      <c r="Y18" s="16"/>
      <c r="Z18" s="16">
        <f>+Z11+Z16</f>
        <v>9968779.9700000007</v>
      </c>
      <c r="AA18" s="20"/>
      <c r="AB18" s="16">
        <f>+AB11+AB16</f>
        <v>9988164.4700000007</v>
      </c>
      <c r="AC18" s="20"/>
      <c r="AD18" s="16">
        <f>+AD11+AD16</f>
        <v>10015132</v>
      </c>
      <c r="AE18" s="20"/>
      <c r="AF18" s="16">
        <f>+AF11+AF16</f>
        <v>10127605</v>
      </c>
      <c r="AG18" s="16"/>
      <c r="AH18" s="16">
        <v>10133256</v>
      </c>
      <c r="AI18" s="16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8" s="14" customFormat="1" ht="18.75" x14ac:dyDescent="0.3">
      <c r="A19" s="2" t="s">
        <v>30</v>
      </c>
      <c r="B19" s="104">
        <v>-12315</v>
      </c>
      <c r="C19" s="104">
        <v>-11134</v>
      </c>
      <c r="D19" s="104"/>
      <c r="E19" s="104">
        <v>-9211</v>
      </c>
      <c r="F19" s="104"/>
      <c r="G19" s="104">
        <v>-8335</v>
      </c>
      <c r="H19" s="2"/>
      <c r="I19" s="104">
        <v>-8261.65</v>
      </c>
      <c r="J19" s="2"/>
      <c r="K19" s="35">
        <v>-8322</v>
      </c>
      <c r="L19" s="2"/>
      <c r="M19" s="35">
        <v>-8399</v>
      </c>
      <c r="N19" s="28"/>
      <c r="O19" s="35">
        <v>-8540</v>
      </c>
      <c r="P19" s="4"/>
      <c r="Q19" s="2"/>
      <c r="R19" s="7"/>
      <c r="S19" s="7"/>
      <c r="T19" s="192"/>
      <c r="U19" s="192"/>
      <c r="V19" s="192"/>
      <c r="W19" s="18"/>
      <c r="X19" s="18"/>
      <c r="Y19" s="18"/>
      <c r="Z19" s="18"/>
      <c r="AA19" s="7"/>
      <c r="AB19" s="18"/>
      <c r="AC19" s="7"/>
      <c r="AD19" s="18"/>
      <c r="AE19" s="7"/>
      <c r="AF19" s="18"/>
      <c r="AG19" s="18"/>
      <c r="AH19" s="18"/>
      <c r="AI19" s="18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8" s="14" customFormat="1" x14ac:dyDescent="0.25">
      <c r="A20" s="2" t="s">
        <v>154</v>
      </c>
      <c r="B20" s="104">
        <v>-6877</v>
      </c>
      <c r="C20" s="104">
        <v>-7948</v>
      </c>
      <c r="D20" s="104"/>
      <c r="E20" s="104">
        <v>-6422</v>
      </c>
      <c r="F20" s="104"/>
      <c r="G20" s="104">
        <v>-6844</v>
      </c>
      <c r="H20" s="2"/>
      <c r="I20" s="104">
        <v>-5811</v>
      </c>
      <c r="J20" s="2"/>
      <c r="K20" s="35">
        <v>-6137</v>
      </c>
      <c r="L20" s="2"/>
      <c r="M20" s="35">
        <v>-5683</v>
      </c>
      <c r="N20" s="28"/>
      <c r="O20" s="35">
        <v>-5427</v>
      </c>
      <c r="P20" s="4"/>
      <c r="Q20" s="2"/>
      <c r="T20" s="106"/>
      <c r="U20" s="106"/>
      <c r="V20" s="106"/>
      <c r="W20" s="4"/>
      <c r="X20" s="4"/>
      <c r="Y20" s="4"/>
      <c r="Z20" s="4"/>
      <c r="AB20" s="4"/>
      <c r="AD20" s="4"/>
      <c r="AF20" s="4"/>
      <c r="AG20" s="4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8" s="14" customFormat="1" x14ac:dyDescent="0.25">
      <c r="A21" s="2" t="s">
        <v>235</v>
      </c>
      <c r="B21" s="104">
        <f>-778-800</f>
        <v>-1578</v>
      </c>
      <c r="C21" s="104">
        <v>-148</v>
      </c>
      <c r="D21" s="104"/>
      <c r="E21" s="104">
        <v>-209</v>
      </c>
      <c r="F21" s="104"/>
      <c r="G21" s="104">
        <v>0</v>
      </c>
      <c r="H21" s="2"/>
      <c r="I21" s="104">
        <v>-716.95</v>
      </c>
      <c r="J21" s="2"/>
      <c r="K21" s="35">
        <v>-5307</v>
      </c>
      <c r="L21" s="2"/>
      <c r="M21" s="35">
        <v>-2023</v>
      </c>
      <c r="N21" s="28"/>
      <c r="O21" s="35">
        <v>-131</v>
      </c>
      <c r="P21" s="4"/>
      <c r="Q21" s="2"/>
      <c r="T21" s="106"/>
      <c r="U21" s="106"/>
      <c r="V21" s="106"/>
      <c r="W21" s="4"/>
      <c r="X21" s="4"/>
      <c r="Y21" s="4"/>
      <c r="Z21" s="4"/>
      <c r="AB21" s="4"/>
      <c r="AD21" s="4"/>
      <c r="AF21" s="4"/>
      <c r="AG21" s="4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8" s="14" customFormat="1" x14ac:dyDescent="0.25">
      <c r="A22" s="2" t="s">
        <v>33</v>
      </c>
      <c r="B22" s="104">
        <v>0</v>
      </c>
      <c r="C22" s="104">
        <v>-11828</v>
      </c>
      <c r="D22" s="104"/>
      <c r="E22" s="104">
        <v>0</v>
      </c>
      <c r="F22" s="104"/>
      <c r="G22" s="104">
        <v>0</v>
      </c>
      <c r="H22" s="2"/>
      <c r="I22" s="104">
        <v>0</v>
      </c>
      <c r="J22" s="2"/>
      <c r="K22" s="35">
        <v>-11785</v>
      </c>
      <c r="L22" s="2"/>
      <c r="M22" s="35">
        <f>-1097-648</f>
        <v>-1745</v>
      </c>
      <c r="N22" s="28"/>
      <c r="O22" s="35">
        <v>-1757</v>
      </c>
      <c r="P22" s="4"/>
      <c r="Q22" s="2"/>
      <c r="T22" s="106"/>
      <c r="U22" s="106"/>
      <c r="V22" s="106"/>
      <c r="W22" s="4"/>
      <c r="X22" s="4"/>
      <c r="Y22" s="4"/>
      <c r="Z22" s="4"/>
      <c r="AB22" s="4"/>
      <c r="AD22" s="4"/>
      <c r="AF22" s="4"/>
      <c r="AG22" s="4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8" s="14" customFormat="1" ht="18.75" x14ac:dyDescent="0.3">
      <c r="A23" s="2" t="s">
        <v>35</v>
      </c>
      <c r="B23" s="104">
        <v>0</v>
      </c>
      <c r="C23" s="104">
        <v>-11181.5</v>
      </c>
      <c r="D23" s="104"/>
      <c r="E23" s="104">
        <v>-1313</v>
      </c>
      <c r="F23" s="104"/>
      <c r="G23" s="104">
        <v>-5520</v>
      </c>
      <c r="H23" s="2"/>
      <c r="I23" s="104">
        <v>-6987</v>
      </c>
      <c r="J23" s="2"/>
      <c r="K23" s="35">
        <v>-6553</v>
      </c>
      <c r="L23" s="2"/>
      <c r="M23" s="35">
        <v>-1453</v>
      </c>
      <c r="N23" s="28"/>
      <c r="O23" s="35">
        <v>0</v>
      </c>
      <c r="P23" s="4"/>
      <c r="Q23" s="2"/>
      <c r="R23" s="7" t="s">
        <v>34</v>
      </c>
      <c r="S23" s="7"/>
      <c r="T23" s="192"/>
      <c r="U23" s="192"/>
      <c r="V23" s="192"/>
      <c r="W23" s="18"/>
      <c r="X23" s="18"/>
      <c r="Y23" s="18"/>
      <c r="Z23" s="18"/>
      <c r="AA23" s="7"/>
      <c r="AB23" s="18"/>
      <c r="AC23" s="7"/>
      <c r="AD23" s="18"/>
      <c r="AE23" s="7"/>
      <c r="AF23" s="18"/>
      <c r="AG23" s="18"/>
      <c r="AH23" s="4"/>
      <c r="AI23" s="4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8" s="14" customFormat="1" x14ac:dyDescent="0.25">
      <c r="A24" s="2" t="s">
        <v>37</v>
      </c>
      <c r="B24" s="104">
        <v>-2376</v>
      </c>
      <c r="C24" s="104">
        <v>-2436</v>
      </c>
      <c r="D24" s="104"/>
      <c r="E24" s="104">
        <v>-2436</v>
      </c>
      <c r="F24" s="104"/>
      <c r="G24" s="104">
        <v>-2400</v>
      </c>
      <c r="H24" s="2"/>
      <c r="I24" s="104">
        <v>-2424</v>
      </c>
      <c r="J24" s="2"/>
      <c r="K24" s="35">
        <v>-2858</v>
      </c>
      <c r="L24" s="2"/>
      <c r="M24" s="35">
        <f>-3200-2252</f>
        <v>-5452</v>
      </c>
      <c r="N24" s="28"/>
      <c r="O24" s="35">
        <v>-3252</v>
      </c>
      <c r="P24" s="4"/>
      <c r="Q24" s="2"/>
      <c r="R24" s="11" t="s">
        <v>36</v>
      </c>
      <c r="S24" s="11"/>
      <c r="T24" s="178"/>
      <c r="U24" s="178"/>
      <c r="V24" s="178"/>
      <c r="W24" s="9"/>
      <c r="X24" s="9"/>
      <c r="Y24" s="9"/>
      <c r="Z24" s="9"/>
      <c r="AA24" s="11"/>
      <c r="AB24" s="9"/>
      <c r="AC24" s="11"/>
      <c r="AD24" s="9"/>
      <c r="AE24" s="11"/>
      <c r="AF24" s="9"/>
      <c r="AG24" s="9"/>
      <c r="AH24" s="9"/>
      <c r="AI24" s="13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8" s="14" customFormat="1" ht="16.5" thickBot="1" x14ac:dyDescent="0.3">
      <c r="A25" s="2" t="s">
        <v>39</v>
      </c>
      <c r="B25" s="105">
        <v>-1355</v>
      </c>
      <c r="C25" s="105">
        <v>-1351</v>
      </c>
      <c r="D25" s="105"/>
      <c r="E25" s="105">
        <v>-1111</v>
      </c>
      <c r="F25" s="105"/>
      <c r="G25" s="105">
        <v>-1146.5</v>
      </c>
      <c r="H25" s="2"/>
      <c r="I25" s="105">
        <v>-1148</v>
      </c>
      <c r="J25" s="2"/>
      <c r="K25" s="42">
        <v>-1142</v>
      </c>
      <c r="L25" s="2"/>
      <c r="M25" s="42">
        <v>-914</v>
      </c>
      <c r="N25" s="28"/>
      <c r="O25" s="42">
        <v>-1165</v>
      </c>
      <c r="P25" s="4"/>
      <c r="Q25" s="2"/>
      <c r="R25" s="2" t="s">
        <v>38</v>
      </c>
      <c r="S25" s="2" t="s">
        <v>104</v>
      </c>
      <c r="T25" s="107">
        <v>10080000</v>
      </c>
      <c r="U25" s="107"/>
      <c r="V25" s="107">
        <v>10080000</v>
      </c>
      <c r="W25" s="15"/>
      <c r="X25" s="15">
        <v>10080000</v>
      </c>
      <c r="Y25" s="15"/>
      <c r="Z25" s="15">
        <v>10080000</v>
      </c>
      <c r="AA25" s="2"/>
      <c r="AB25" s="15">
        <v>10080000</v>
      </c>
      <c r="AC25" s="2"/>
      <c r="AD25" s="15">
        <v>10080000</v>
      </c>
      <c r="AE25" s="2"/>
      <c r="AF25" s="15">
        <v>10080000</v>
      </c>
      <c r="AG25" s="15"/>
      <c r="AH25" s="15">
        <v>10080000</v>
      </c>
      <c r="AI25" s="4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8" s="14" customFormat="1" ht="16.5" thickTop="1" x14ac:dyDescent="0.25">
      <c r="A26" s="16" t="s">
        <v>41</v>
      </c>
      <c r="B26" s="127">
        <f>SUM(B15:B25)</f>
        <v>-106861</v>
      </c>
      <c r="C26" s="127">
        <f>SUM(C15:C25)</f>
        <v>-154775.5</v>
      </c>
      <c r="D26" s="127"/>
      <c r="E26" s="127">
        <f>SUM(E15:E25)</f>
        <v>-93861</v>
      </c>
      <c r="F26" s="127"/>
      <c r="G26" s="127">
        <f>SUM(G15:G25)</f>
        <v>-94526.5</v>
      </c>
      <c r="H26" s="16"/>
      <c r="I26" s="33">
        <f>SUM(I15:I25)</f>
        <v>-102740.62999999999</v>
      </c>
      <c r="J26" s="16"/>
      <c r="K26" s="33">
        <f>SUM(K15:K25)</f>
        <v>-179353</v>
      </c>
      <c r="L26" s="16"/>
      <c r="M26" s="33">
        <f>SUM(M15:M25)</f>
        <v>-86080</v>
      </c>
      <c r="N26" s="33"/>
      <c r="O26" s="16">
        <v>-102749</v>
      </c>
      <c r="P26" s="4"/>
      <c r="Q26" s="2"/>
      <c r="R26" s="17" t="s">
        <v>40</v>
      </c>
      <c r="S26" s="17"/>
      <c r="T26" s="132">
        <v>10080000</v>
      </c>
      <c r="U26" s="132"/>
      <c r="V26" s="132">
        <v>10080000</v>
      </c>
      <c r="W26" s="16"/>
      <c r="X26" s="16">
        <v>10080000</v>
      </c>
      <c r="Y26" s="16"/>
      <c r="Z26" s="16">
        <v>10080000</v>
      </c>
      <c r="AA26" s="17"/>
      <c r="AB26" s="16">
        <v>10080000</v>
      </c>
      <c r="AC26" s="17"/>
      <c r="AD26" s="16">
        <v>10080000</v>
      </c>
      <c r="AE26" s="17"/>
      <c r="AF26" s="16">
        <v>10080000</v>
      </c>
      <c r="AG26" s="16"/>
      <c r="AH26" s="16">
        <v>10080000</v>
      </c>
      <c r="AI26" s="16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8" s="14" customFormat="1" x14ac:dyDescent="0.25">
      <c r="A27" s="23"/>
      <c r="B27" s="128"/>
      <c r="C27" s="128"/>
      <c r="D27" s="128"/>
      <c r="E27" s="128"/>
      <c r="F27" s="128"/>
      <c r="G27" s="128"/>
      <c r="H27" s="23"/>
      <c r="I27" s="36"/>
      <c r="J27" s="23"/>
      <c r="K27" s="36"/>
      <c r="L27" s="23"/>
      <c r="M27" s="36"/>
      <c r="N27" s="36"/>
      <c r="O27" s="23"/>
      <c r="P27" s="4"/>
      <c r="Q27" s="2"/>
      <c r="R27" s="2"/>
      <c r="S27" s="2"/>
      <c r="T27" s="106"/>
      <c r="U27" s="106"/>
      <c r="V27" s="106"/>
      <c r="W27" s="4"/>
      <c r="X27" s="4"/>
      <c r="Y27" s="4"/>
      <c r="Z27" s="4"/>
      <c r="AA27" s="2"/>
      <c r="AB27" s="4"/>
      <c r="AC27" s="2"/>
      <c r="AD27" s="4"/>
      <c r="AE27" s="2"/>
      <c r="AF27" s="4"/>
      <c r="AG27" s="4"/>
      <c r="AH27" s="4"/>
      <c r="AI27" s="4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8" s="14" customFormat="1" x14ac:dyDescent="0.25">
      <c r="A28" s="16" t="s">
        <v>215</v>
      </c>
      <c r="B28" s="127">
        <f>B9+B26</f>
        <v>32159</v>
      </c>
      <c r="C28" s="127">
        <f>C9+C26</f>
        <v>-15755.5</v>
      </c>
      <c r="D28" s="166"/>
      <c r="E28" s="127">
        <f t="shared" ref="E28:G28" si="0">E9+E26</f>
        <v>45159</v>
      </c>
      <c r="F28" s="127"/>
      <c r="G28" s="127">
        <f t="shared" si="0"/>
        <v>44493.5</v>
      </c>
      <c r="H28" s="166"/>
      <c r="I28" s="39">
        <v>-3285</v>
      </c>
      <c r="J28" s="38"/>
      <c r="K28" s="39">
        <v>-3170</v>
      </c>
      <c r="L28" s="38"/>
      <c r="M28" s="39">
        <v>-3105</v>
      </c>
      <c r="N28" s="39"/>
      <c r="O28" s="39">
        <v>-3040</v>
      </c>
      <c r="P28" s="4"/>
      <c r="Q28" s="2"/>
      <c r="R28" s="11" t="s">
        <v>42</v>
      </c>
      <c r="S28" s="11"/>
      <c r="T28" s="178"/>
      <c r="U28" s="178"/>
      <c r="V28" s="178"/>
      <c r="W28" s="9"/>
      <c r="X28" s="9"/>
      <c r="Y28" s="9"/>
      <c r="Z28" s="9"/>
      <c r="AA28" s="25"/>
      <c r="AB28" s="37"/>
      <c r="AC28" s="25"/>
      <c r="AD28" s="37"/>
      <c r="AE28" s="25"/>
      <c r="AF28" s="37"/>
      <c r="AG28" s="37"/>
      <c r="AH28" s="37"/>
      <c r="AI28" s="37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8" x14ac:dyDescent="0.25">
      <c r="A29" s="23"/>
      <c r="B29" s="128"/>
      <c r="C29" s="128"/>
      <c r="D29" s="128"/>
      <c r="E29" s="128"/>
      <c r="F29" s="128"/>
      <c r="G29" s="128"/>
      <c r="H29" s="23"/>
      <c r="J29" s="14"/>
      <c r="L29" s="14"/>
      <c r="N29" s="28"/>
      <c r="O29" s="22"/>
      <c r="P29" s="18"/>
      <c r="R29" s="2" t="s">
        <v>44</v>
      </c>
      <c r="T29" s="106">
        <f>V31+0.1</f>
        <v>-260915.5</v>
      </c>
      <c r="U29" s="106"/>
      <c r="V29" s="106">
        <f>X31</f>
        <v>-163678.03</v>
      </c>
      <c r="W29" s="106"/>
      <c r="X29" s="106">
        <f>Z31</f>
        <v>-136522.03</v>
      </c>
      <c r="Y29" s="106"/>
      <c r="Z29" s="106">
        <f>AB33</f>
        <v>-113840.53</v>
      </c>
      <c r="AA29" s="25"/>
      <c r="AB29" s="37"/>
      <c r="AC29" s="25"/>
      <c r="AD29" s="37"/>
      <c r="AE29" s="25"/>
      <c r="AF29" s="37"/>
      <c r="AG29" s="37"/>
      <c r="AH29" s="37"/>
      <c r="AI29" s="40"/>
    </row>
    <row r="30" spans="1:48" s="25" customFormat="1" ht="16.5" thickBot="1" x14ac:dyDescent="0.3">
      <c r="A30" s="38" t="s">
        <v>62</v>
      </c>
      <c r="B30" s="129">
        <v>-7295</v>
      </c>
      <c r="C30" s="129">
        <v>-7145</v>
      </c>
      <c r="D30" s="129"/>
      <c r="E30" s="129">
        <v>-6885</v>
      </c>
      <c r="F30" s="129"/>
      <c r="G30" s="129">
        <v>-6685</v>
      </c>
      <c r="H30" s="38"/>
      <c r="I30" s="10"/>
      <c r="J30" s="9"/>
      <c r="K30" s="10"/>
      <c r="L30" s="9"/>
      <c r="M30" s="10"/>
      <c r="N30" s="10"/>
      <c r="O30" s="13"/>
      <c r="P30" s="18"/>
      <c r="R30" s="2" t="s">
        <v>46</v>
      </c>
      <c r="S30" s="2"/>
      <c r="T30" s="107">
        <v>-49508.45</v>
      </c>
      <c r="U30" s="107"/>
      <c r="V30" s="107">
        <v>-97237.57</v>
      </c>
      <c r="W30" s="107"/>
      <c r="X30" s="107">
        <v>-27156</v>
      </c>
      <c r="Y30" s="107"/>
      <c r="Z30" s="107">
        <v>-22681.5</v>
      </c>
      <c r="AA30" s="11"/>
      <c r="AB30" s="9"/>
      <c r="AC30" s="11"/>
      <c r="AD30" s="9"/>
      <c r="AE30" s="11"/>
      <c r="AF30" s="9"/>
      <c r="AG30" s="9"/>
      <c r="AH30" s="13"/>
      <c r="AI30" s="13"/>
    </row>
    <row r="31" spans="1:48" s="41" customFormat="1" ht="16.5" thickTop="1" x14ac:dyDescent="0.25">
      <c r="A31" s="14"/>
      <c r="B31" s="104"/>
      <c r="C31" s="104"/>
      <c r="D31" s="104"/>
      <c r="E31" s="104"/>
      <c r="F31" s="104"/>
      <c r="G31" s="104"/>
      <c r="H31" s="14"/>
      <c r="I31" s="35">
        <v>0</v>
      </c>
      <c r="J31" s="2"/>
      <c r="K31" s="35">
        <v>0</v>
      </c>
      <c r="L31" s="2"/>
      <c r="M31" s="35">
        <v>0</v>
      </c>
      <c r="N31" s="27"/>
      <c r="O31" s="35">
        <v>1269</v>
      </c>
      <c r="P31" s="18"/>
      <c r="Q31" s="25"/>
      <c r="R31" s="17" t="s">
        <v>48</v>
      </c>
      <c r="S31" s="17"/>
      <c r="T31" s="132">
        <f>SUM(T29:T30)</f>
        <v>-310423.95</v>
      </c>
      <c r="U31" s="132"/>
      <c r="V31" s="132">
        <f>SUM(V29:V30)</f>
        <v>-260915.6</v>
      </c>
      <c r="W31" s="16"/>
      <c r="X31" s="16">
        <f>SUM(X29:X30)</f>
        <v>-163678.03</v>
      </c>
      <c r="Y31" s="16"/>
      <c r="Z31" s="16">
        <f>SUM(Z29:Z30)</f>
        <v>-136522.03</v>
      </c>
      <c r="AA31" s="2"/>
      <c r="AB31" s="106">
        <v>-86381.9</v>
      </c>
      <c r="AC31" s="2"/>
      <c r="AD31" s="4">
        <v>17575</v>
      </c>
      <c r="AE31" s="2"/>
      <c r="AF31" s="4">
        <v>28191</v>
      </c>
      <c r="AG31" s="4"/>
      <c r="AH31" s="4">
        <v>41859</v>
      </c>
      <c r="AI31" s="4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</row>
    <row r="32" spans="1:48" ht="16.5" thickBot="1" x14ac:dyDescent="0.3">
      <c r="A32" s="9" t="s">
        <v>43</v>
      </c>
      <c r="B32" s="130"/>
      <c r="C32" s="130"/>
      <c r="D32" s="130"/>
      <c r="E32" s="130"/>
      <c r="F32" s="130"/>
      <c r="G32" s="130"/>
      <c r="H32" s="9"/>
      <c r="I32" s="42">
        <v>-35</v>
      </c>
      <c r="K32" s="42">
        <v>-36</v>
      </c>
      <c r="M32" s="42">
        <v>-33</v>
      </c>
      <c r="O32" s="42">
        <v>0</v>
      </c>
      <c r="P32" s="4"/>
      <c r="R32" s="19"/>
      <c r="S32" s="19"/>
      <c r="T32" s="192"/>
      <c r="U32" s="192"/>
      <c r="V32" s="192"/>
      <c r="W32" s="18"/>
      <c r="X32" s="18"/>
      <c r="Y32" s="18"/>
      <c r="Z32" s="18"/>
      <c r="AB32" s="107">
        <v>-27458.63</v>
      </c>
      <c r="AD32" s="15">
        <v>-103957</v>
      </c>
      <c r="AF32" s="15">
        <v>-10616</v>
      </c>
      <c r="AG32" s="15"/>
      <c r="AH32" s="15">
        <v>-13668</v>
      </c>
      <c r="AI32" s="4"/>
    </row>
    <row r="33" spans="1:39" ht="16.5" thickTop="1" x14ac:dyDescent="0.25">
      <c r="A33" s="2" t="s">
        <v>45</v>
      </c>
      <c r="B33" s="104">
        <v>0</v>
      </c>
      <c r="C33" s="104">
        <v>0</v>
      </c>
      <c r="D33" s="104"/>
      <c r="E33" s="104">
        <v>0</v>
      </c>
      <c r="F33" s="104"/>
      <c r="G33" s="104">
        <v>0</v>
      </c>
      <c r="I33" s="33">
        <f>SUM(I31:I32)</f>
        <v>-35</v>
      </c>
      <c r="J33" s="16"/>
      <c r="K33" s="33">
        <f>SUM(K31:K32)</f>
        <v>-36</v>
      </c>
      <c r="L33" s="16"/>
      <c r="M33" s="33">
        <f>SUM(M31:M32)</f>
        <v>-33</v>
      </c>
      <c r="N33" s="33"/>
      <c r="O33" s="16">
        <f>SUM(O31:O32)</f>
        <v>1269</v>
      </c>
      <c r="P33" s="4"/>
      <c r="R33" s="11" t="s">
        <v>50</v>
      </c>
      <c r="S33" s="11"/>
      <c r="T33" s="178"/>
      <c r="U33" s="178"/>
      <c r="V33" s="178"/>
      <c r="W33" s="9"/>
      <c r="X33" s="9"/>
      <c r="Y33" s="9"/>
      <c r="Z33" s="9"/>
      <c r="AA33" s="17"/>
      <c r="AB33" s="16">
        <f>SUM(AB31:AB32)</f>
        <v>-113840.53</v>
      </c>
      <c r="AC33" s="17"/>
      <c r="AD33" s="16">
        <f>SUM(AD31:AD32)</f>
        <v>-86382</v>
      </c>
      <c r="AE33" s="17"/>
      <c r="AF33" s="16">
        <f>SUM(AF31:AF32)</f>
        <v>17575</v>
      </c>
      <c r="AG33" s="16"/>
      <c r="AH33" s="16">
        <v>28191</v>
      </c>
      <c r="AI33" s="16"/>
    </row>
    <row r="34" spans="1:39" ht="16.5" thickBot="1" x14ac:dyDescent="0.3">
      <c r="A34" s="2" t="s">
        <v>134</v>
      </c>
      <c r="B34" s="105">
        <v>-112</v>
      </c>
      <c r="C34" s="105">
        <v>-77</v>
      </c>
      <c r="D34" s="105"/>
      <c r="E34" s="105">
        <v>-74</v>
      </c>
      <c r="F34" s="105"/>
      <c r="G34" s="105">
        <v>-72</v>
      </c>
      <c r="O34" s="4"/>
      <c r="P34" s="4"/>
      <c r="R34" s="2" t="s">
        <v>52</v>
      </c>
      <c r="T34" s="106">
        <v>0</v>
      </c>
      <c r="U34" s="106"/>
      <c r="V34" s="106">
        <v>0</v>
      </c>
      <c r="X34" s="4">
        <v>0</v>
      </c>
      <c r="Z34" s="4">
        <v>0</v>
      </c>
      <c r="AA34" s="19"/>
      <c r="AB34" s="18"/>
      <c r="AC34" s="19"/>
      <c r="AD34" s="18"/>
      <c r="AE34" s="19"/>
      <c r="AF34" s="18"/>
      <c r="AG34" s="18"/>
      <c r="AH34" s="18"/>
      <c r="AI34" s="18"/>
    </row>
    <row r="35" spans="1:39" ht="16.5" thickTop="1" x14ac:dyDescent="0.25">
      <c r="A35" s="16" t="s">
        <v>47</v>
      </c>
      <c r="B35" s="127">
        <f>SUM(B33:B34)</f>
        <v>-112</v>
      </c>
      <c r="C35" s="127">
        <f>SUM(C33:C34)</f>
        <v>-77</v>
      </c>
      <c r="D35" s="127"/>
      <c r="E35" s="127">
        <f>SUM(E33:E34)</f>
        <v>-74</v>
      </c>
      <c r="F35" s="127"/>
      <c r="G35" s="127">
        <f>SUM(G33:G34)</f>
        <v>-72</v>
      </c>
      <c r="H35" s="16"/>
      <c r="I35" s="10"/>
      <c r="J35" s="9"/>
      <c r="K35" s="10"/>
      <c r="L35" s="9"/>
      <c r="M35" s="10"/>
      <c r="N35" s="10"/>
      <c r="O35" s="13"/>
      <c r="P35" s="4"/>
      <c r="T35" s="106"/>
      <c r="U35" s="106"/>
      <c r="V35" s="106"/>
      <c r="AA35" s="11"/>
      <c r="AB35" s="9"/>
      <c r="AC35" s="11"/>
      <c r="AD35" s="9"/>
      <c r="AE35" s="11"/>
      <c r="AF35" s="9"/>
      <c r="AG35" s="9"/>
      <c r="AH35" s="13"/>
      <c r="AI35" s="13"/>
    </row>
    <row r="36" spans="1:39" ht="16.5" thickBot="1" x14ac:dyDescent="0.3">
      <c r="B36" s="104"/>
      <c r="C36" s="104"/>
      <c r="D36" s="104"/>
      <c r="E36" s="104"/>
      <c r="F36" s="104"/>
      <c r="G36" s="104"/>
      <c r="I36" s="35">
        <v>-60418</v>
      </c>
      <c r="K36" s="42">
        <v>-60418</v>
      </c>
      <c r="M36" s="42">
        <v>-60418</v>
      </c>
      <c r="O36" s="42">
        <v>-48168</v>
      </c>
      <c r="P36" s="4"/>
      <c r="R36" s="2" t="s">
        <v>54</v>
      </c>
      <c r="S36" s="2" t="s">
        <v>100</v>
      </c>
      <c r="T36" s="108">
        <f>112+7503+17011</f>
        <v>24626</v>
      </c>
      <c r="U36" s="108"/>
      <c r="V36" s="108">
        <f>9544+19928.5+77</f>
        <v>29549.5</v>
      </c>
      <c r="W36" s="108"/>
      <c r="X36" s="108">
        <f>23677-20</f>
        <v>23657</v>
      </c>
      <c r="Y36" s="108"/>
      <c r="Z36" s="108">
        <v>25302</v>
      </c>
      <c r="AB36" s="4">
        <v>0</v>
      </c>
      <c r="AD36" s="4">
        <v>0</v>
      </c>
      <c r="AF36" s="4">
        <v>0</v>
      </c>
      <c r="AH36" s="4">
        <v>0</v>
      </c>
      <c r="AI36" s="4"/>
    </row>
    <row r="37" spans="1:39" ht="17.25" thickTop="1" thickBot="1" x14ac:dyDescent="0.3">
      <c r="A37" s="9" t="s">
        <v>49</v>
      </c>
      <c r="B37" s="130"/>
      <c r="C37" s="130"/>
      <c r="D37" s="130"/>
      <c r="E37" s="130"/>
      <c r="F37" s="130"/>
      <c r="G37" s="130"/>
      <c r="H37" s="9"/>
      <c r="I37" s="42"/>
      <c r="O37" s="35"/>
      <c r="P37" s="4"/>
      <c r="R37" s="17" t="s">
        <v>56</v>
      </c>
      <c r="S37" s="17"/>
      <c r="T37" s="132">
        <f t="shared" ref="T37" si="1">SUM(T34:T36)</f>
        <v>24626</v>
      </c>
      <c r="U37" s="132"/>
      <c r="V37" s="132">
        <f t="shared" ref="V37:X37" si="2">SUM(V34:V36)</f>
        <v>29549.5</v>
      </c>
      <c r="W37" s="16"/>
      <c r="X37" s="16">
        <f t="shared" si="2"/>
        <v>23657</v>
      </c>
      <c r="Y37" s="16"/>
      <c r="Z37" s="16">
        <f t="shared" ref="Z37:AB39" si="3">SUM(Z34:Z36)</f>
        <v>25302</v>
      </c>
      <c r="AH37" s="4"/>
      <c r="AI37" s="4"/>
    </row>
    <row r="38" spans="1:39" ht="16.5" thickTop="1" x14ac:dyDescent="0.25">
      <c r="A38" s="2" t="s">
        <v>53</v>
      </c>
      <c r="B38" s="104">
        <v>-60418</v>
      </c>
      <c r="C38" s="104">
        <v>-60418</v>
      </c>
      <c r="D38" s="104"/>
      <c r="E38" s="104">
        <v>-60418</v>
      </c>
      <c r="F38" s="104"/>
      <c r="G38" s="104">
        <v>-60418</v>
      </c>
      <c r="I38" s="33">
        <f>+I36</f>
        <v>-60418</v>
      </c>
      <c r="J38" s="17"/>
      <c r="K38" s="33">
        <f>+K36</f>
        <v>-60418</v>
      </c>
      <c r="L38" s="17"/>
      <c r="M38" s="33">
        <f>+M36</f>
        <v>-60418</v>
      </c>
      <c r="N38" s="34"/>
      <c r="O38" s="16">
        <v>-48168</v>
      </c>
      <c r="P38" s="4"/>
      <c r="T38" s="106"/>
      <c r="U38" s="106"/>
      <c r="V38" s="106"/>
      <c r="AB38" s="108">
        <v>22005</v>
      </c>
      <c r="AD38" s="44">
        <v>21514</v>
      </c>
      <c r="AF38" s="44">
        <v>30030</v>
      </c>
      <c r="AH38" s="44">
        <v>25065</v>
      </c>
      <c r="AI38" s="4"/>
    </row>
    <row r="39" spans="1:39" ht="19.5" thickBot="1" x14ac:dyDescent="0.35">
      <c r="A39" s="2" t="s">
        <v>188</v>
      </c>
      <c r="B39" s="105">
        <v>-13842.07</v>
      </c>
      <c r="C39" s="105">
        <v>-13842.07</v>
      </c>
      <c r="D39" s="105"/>
      <c r="E39" s="105">
        <v>-4938</v>
      </c>
      <c r="F39" s="105"/>
      <c r="G39" s="105"/>
      <c r="O39" s="4"/>
      <c r="P39" s="4"/>
      <c r="R39" s="20" t="s">
        <v>58</v>
      </c>
      <c r="S39" s="20"/>
      <c r="T39" s="132">
        <f>T26+T31+T37</f>
        <v>9794202.0500000007</v>
      </c>
      <c r="U39" s="132"/>
      <c r="V39" s="132">
        <f>V26+V31+V37</f>
        <v>9848633.9000000004</v>
      </c>
      <c r="W39" s="16"/>
      <c r="X39" s="132">
        <f>X26+X31+X37</f>
        <v>9939978.9700000007</v>
      </c>
      <c r="Y39" s="16"/>
      <c r="Z39" s="132">
        <f>Z26+Z31+Z37</f>
        <v>9968779.9700000007</v>
      </c>
      <c r="AA39" s="17"/>
      <c r="AB39" s="16">
        <f t="shared" si="3"/>
        <v>22005</v>
      </c>
      <c r="AC39" s="17"/>
      <c r="AD39" s="16">
        <f t="shared" ref="AD39:AF39" si="4">SUM(AD36:AD38)</f>
        <v>21514</v>
      </c>
      <c r="AE39" s="17"/>
      <c r="AF39" s="16">
        <f t="shared" si="4"/>
        <v>30030</v>
      </c>
      <c r="AG39" s="16"/>
      <c r="AH39" s="16">
        <v>25065</v>
      </c>
      <c r="AI39" s="16"/>
    </row>
    <row r="40" spans="1:39" ht="16.5" thickTop="1" x14ac:dyDescent="0.25">
      <c r="A40" s="17" t="s">
        <v>55</v>
      </c>
      <c r="B40" s="127">
        <f>+B38+B39</f>
        <v>-74260.070000000007</v>
      </c>
      <c r="C40" s="127">
        <f>+C38+C39</f>
        <v>-74260.070000000007</v>
      </c>
      <c r="D40" s="127"/>
      <c r="E40" s="127">
        <f>+E38+E39</f>
        <v>-65356</v>
      </c>
      <c r="F40" s="127"/>
      <c r="G40" s="127">
        <f>+G38</f>
        <v>-60418</v>
      </c>
      <c r="H40" s="17"/>
      <c r="I40" s="32">
        <v>0</v>
      </c>
      <c r="J40" s="19"/>
      <c r="K40" s="32">
        <v>0</v>
      </c>
      <c r="L40" s="19"/>
      <c r="M40" s="32">
        <v>0</v>
      </c>
      <c r="O40" s="32">
        <v>0</v>
      </c>
      <c r="P40" s="4"/>
      <c r="T40" s="106"/>
      <c r="U40" s="106"/>
      <c r="V40" s="106"/>
    </row>
    <row r="41" spans="1:39" ht="18.75" hidden="1" x14ac:dyDescent="0.3">
      <c r="B41" s="104"/>
      <c r="C41" s="104"/>
      <c r="D41" s="104"/>
      <c r="E41" s="104"/>
      <c r="F41" s="104"/>
      <c r="G41" s="104"/>
      <c r="O41" s="4"/>
      <c r="P41" s="4"/>
      <c r="R41" s="20" t="s">
        <v>58</v>
      </c>
      <c r="S41" s="20"/>
      <c r="T41" s="132">
        <f>T26+T31+T37</f>
        <v>9794202.0500000007</v>
      </c>
      <c r="U41" s="132"/>
      <c r="V41" s="132">
        <f>V26+V31+V37</f>
        <v>9848633.9000000004</v>
      </c>
      <c r="W41" s="16"/>
      <c r="X41" s="16">
        <f>X26+X31+X37</f>
        <v>9939978.9700000007</v>
      </c>
      <c r="Y41" s="16"/>
      <c r="Z41" s="16">
        <f>Z26+Z31+Z37</f>
        <v>9968779.9700000007</v>
      </c>
      <c r="AH41" s="4"/>
      <c r="AI41" s="4"/>
    </row>
    <row r="42" spans="1:39" ht="18.75" hidden="1" x14ac:dyDescent="0.3">
      <c r="A42" s="19" t="s">
        <v>57</v>
      </c>
      <c r="B42" s="131">
        <v>0</v>
      </c>
      <c r="C42" s="131">
        <v>0</v>
      </c>
      <c r="D42" s="131"/>
      <c r="E42" s="131">
        <v>0</v>
      </c>
      <c r="F42" s="131"/>
      <c r="G42" s="131">
        <v>0</v>
      </c>
      <c r="H42" s="19"/>
      <c r="I42" s="16">
        <f>+I40+I38+I33+I28+I26+I9</f>
        <v>-27458.630000000005</v>
      </c>
      <c r="J42" s="20"/>
      <c r="K42" s="16">
        <f>+K40+K38+K33+K28+K26+K9</f>
        <v>-103957</v>
      </c>
      <c r="L42" s="20"/>
      <c r="M42" s="16">
        <f>+M40+M38+M33+M28+M26+M9</f>
        <v>-10616</v>
      </c>
      <c r="N42" s="16"/>
      <c r="O42" s="16">
        <f>+O40+O38+O33+O28+O26+O9</f>
        <v>-13668</v>
      </c>
      <c r="P42" s="4"/>
      <c r="T42" s="106"/>
      <c r="U42" s="106"/>
      <c r="V42" s="106"/>
    </row>
    <row r="43" spans="1:39" ht="18.75" x14ac:dyDescent="0.3">
      <c r="B43" s="104"/>
      <c r="C43" s="104"/>
      <c r="D43" s="104"/>
      <c r="E43" s="104"/>
      <c r="F43" s="104"/>
      <c r="G43" s="104"/>
      <c r="P43" s="4"/>
      <c r="T43" s="71">
        <f>+T18-T39</f>
        <v>0.4699999988079071</v>
      </c>
      <c r="U43" s="71"/>
      <c r="V43" s="71">
        <f>+V18-V39</f>
        <v>0.31999999843537807</v>
      </c>
      <c r="W43" s="2"/>
      <c r="X43" s="2">
        <f>+X18-X41</f>
        <v>0.5</v>
      </c>
      <c r="Y43" s="2"/>
      <c r="Z43" s="2">
        <f>+Z18-Z41</f>
        <v>0</v>
      </c>
      <c r="AA43" s="20"/>
      <c r="AB43" s="16">
        <f>AB26+AB33+AB39</f>
        <v>9988164.4700000007</v>
      </c>
      <c r="AC43" s="20"/>
      <c r="AD43" s="16">
        <f>AD26+AD33+AD39</f>
        <v>10015132</v>
      </c>
      <c r="AE43" s="20"/>
      <c r="AF43" s="16">
        <f>AF26+AF33+AF39</f>
        <v>10127605</v>
      </c>
      <c r="AG43" s="16"/>
      <c r="AH43" s="16">
        <v>10133256</v>
      </c>
      <c r="AI43" s="21"/>
    </row>
    <row r="44" spans="1:39" ht="18.75" x14ac:dyDescent="0.3">
      <c r="A44" s="20" t="s">
        <v>46</v>
      </c>
      <c r="B44" s="132">
        <f>+B42+B40+B35+B30+B26+B9</f>
        <v>-49508.070000000007</v>
      </c>
      <c r="C44" s="132">
        <f>+C42+C40+C35+C30+C26+C9</f>
        <v>-97237.57</v>
      </c>
      <c r="D44" s="132"/>
      <c r="E44" s="132">
        <f>+E42+E40+E35+E30+E26+E9</f>
        <v>-27156</v>
      </c>
      <c r="F44" s="132"/>
      <c r="G44" s="132">
        <f>+G42+G40+G35+G30+G26+G9</f>
        <v>-22681.5</v>
      </c>
      <c r="H44" s="20"/>
      <c r="P44" s="4"/>
      <c r="AM44" s="22"/>
    </row>
    <row r="45" spans="1:39" x14ac:dyDescent="0.25">
      <c r="P45" s="4"/>
      <c r="AB45" s="2">
        <f t="shared" ref="AB45" si="5">+AB18-AB43</f>
        <v>0</v>
      </c>
      <c r="AD45" s="2">
        <f t="shared" ref="AD45:AF45" si="6">+AD18-AD43</f>
        <v>0</v>
      </c>
      <c r="AF45" s="2">
        <f t="shared" si="6"/>
        <v>0</v>
      </c>
      <c r="AG45" s="2"/>
      <c r="AH45" s="2">
        <v>0</v>
      </c>
    </row>
    <row r="46" spans="1:39" x14ac:dyDescent="0.25">
      <c r="P46" s="18"/>
      <c r="AJ46" s="14"/>
    </row>
    <row r="49" spans="1:17" x14ac:dyDescent="0.25">
      <c r="J49" s="14"/>
      <c r="L49" s="14"/>
      <c r="N49" s="28"/>
      <c r="O49" s="14"/>
    </row>
    <row r="50" spans="1:17" x14ac:dyDescent="0.25">
      <c r="J50" s="14"/>
      <c r="L50" s="14"/>
      <c r="N50" s="28"/>
      <c r="O50" s="14"/>
      <c r="Q50" s="14"/>
    </row>
    <row r="51" spans="1:17" x14ac:dyDescent="0.25">
      <c r="A51" s="14"/>
      <c r="H51" s="14"/>
      <c r="J51" s="14"/>
      <c r="L51" s="14"/>
      <c r="N51" s="28"/>
      <c r="O51" s="14"/>
      <c r="Q51" s="14"/>
    </row>
    <row r="52" spans="1:17" x14ac:dyDescent="0.25">
      <c r="A52" s="14"/>
      <c r="H52" s="14"/>
      <c r="J52" s="14"/>
      <c r="L52" s="14"/>
      <c r="N52" s="28"/>
      <c r="O52" s="14"/>
      <c r="Q52" s="14"/>
    </row>
    <row r="53" spans="1:17" x14ac:dyDescent="0.25">
      <c r="A53" s="14"/>
      <c r="H53" s="14"/>
      <c r="P53" s="14"/>
      <c r="Q53" s="14"/>
    </row>
    <row r="54" spans="1:17" x14ac:dyDescent="0.25">
      <c r="A54" s="14"/>
      <c r="H54" s="14"/>
      <c r="P54" s="14"/>
    </row>
    <row r="55" spans="1:17" x14ac:dyDescent="0.25">
      <c r="P55" s="14"/>
    </row>
    <row r="56" spans="1:17" x14ac:dyDescent="0.25">
      <c r="P56" s="14"/>
    </row>
  </sheetData>
  <pageMargins left="0.25" right="0.25" top="0.75" bottom="0.75" header="0.3" footer="0.3"/>
  <pageSetup paperSize="9" scale="66" orientation="landscape" r:id="rId1"/>
  <colBreaks count="2" manualBreakCount="2">
    <brk id="17" max="46" man="1"/>
    <brk id="3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6"/>
  <sheetViews>
    <sheetView topLeftCell="A2" workbookViewId="0">
      <selection activeCell="J13" sqref="J13:O28"/>
    </sheetView>
  </sheetViews>
  <sheetFormatPr defaultRowHeight="15.75" x14ac:dyDescent="0.25"/>
  <cols>
    <col min="1" max="1" width="7.42578125" style="46" customWidth="1"/>
    <col min="2" max="2" width="26.28515625" customWidth="1"/>
    <col min="3" max="3" width="6.7109375" customWidth="1"/>
    <col min="4" max="4" width="8.5703125" customWidth="1"/>
    <col min="5" max="5" width="10.7109375" customWidth="1"/>
    <col min="6" max="7" width="13" bestFit="1" customWidth="1"/>
    <col min="8" max="8" width="6.5703125" customWidth="1"/>
    <col min="10" max="10" width="9.28515625" customWidth="1"/>
    <col min="11" max="11" width="9.140625" customWidth="1"/>
    <col min="12" max="12" width="8.5703125" customWidth="1"/>
    <col min="13" max="13" width="10.7109375" bestFit="1" customWidth="1"/>
    <col min="14" max="14" width="9.5703125" bestFit="1" customWidth="1"/>
    <col min="17" max="22" width="0" hidden="1" customWidth="1"/>
  </cols>
  <sheetData>
    <row r="1" spans="1:21" ht="21" x14ac:dyDescent="0.35">
      <c r="A1" s="45" t="s">
        <v>118</v>
      </c>
    </row>
    <row r="2" spans="1:21" x14ac:dyDescent="0.25">
      <c r="A2" s="46" t="s">
        <v>63</v>
      </c>
      <c r="B2" s="18" t="s">
        <v>64</v>
      </c>
    </row>
    <row r="3" spans="1:21" x14ac:dyDescent="0.25">
      <c r="B3" s="205" t="s">
        <v>65</v>
      </c>
      <c r="C3" s="205"/>
      <c r="D3" s="205"/>
      <c r="E3" s="205"/>
      <c r="F3" s="205"/>
      <c r="G3" s="205"/>
      <c r="H3" s="47"/>
    </row>
    <row r="4" spans="1:21" x14ac:dyDescent="0.25">
      <c r="B4" s="206"/>
      <c r="C4" s="206"/>
      <c r="D4" s="206"/>
      <c r="E4" s="206"/>
      <c r="F4" s="206"/>
      <c r="G4" s="206"/>
    </row>
    <row r="5" spans="1:21" ht="16.5" thickBot="1" x14ac:dyDescent="0.3">
      <c r="A5" s="46" t="s">
        <v>66</v>
      </c>
      <c r="B5" s="46" t="s">
        <v>67</v>
      </c>
      <c r="F5" s="48"/>
    </row>
    <row r="6" spans="1:21" x14ac:dyDescent="0.25">
      <c r="B6" s="14" t="s">
        <v>68</v>
      </c>
      <c r="C6" s="49"/>
      <c r="D6" s="49"/>
      <c r="E6" s="49"/>
      <c r="F6" s="49"/>
      <c r="G6" s="14">
        <v>10078760</v>
      </c>
      <c r="J6" s="50" t="s">
        <v>62</v>
      </c>
      <c r="K6" s="51"/>
      <c r="L6" s="52" t="s">
        <v>69</v>
      </c>
      <c r="M6" s="53"/>
      <c r="N6" s="53"/>
      <c r="O6" s="207" t="s">
        <v>70</v>
      </c>
      <c r="Q6" s="73" t="s">
        <v>80</v>
      </c>
      <c r="R6" s="74"/>
      <c r="S6" s="74"/>
      <c r="T6" s="74"/>
      <c r="U6" s="75"/>
    </row>
    <row r="7" spans="1:21" x14ac:dyDescent="0.25">
      <c r="B7" s="14" t="s">
        <v>71</v>
      </c>
      <c r="C7" s="54">
        <f>+G7/G6</f>
        <v>0.84699992856264061</v>
      </c>
      <c r="D7" s="49" t="s">
        <v>72</v>
      </c>
      <c r="E7" s="55"/>
      <c r="F7" s="49"/>
      <c r="G7" s="14">
        <v>8536709</v>
      </c>
      <c r="J7" s="56"/>
      <c r="K7" s="57"/>
      <c r="L7" s="58" t="s">
        <v>73</v>
      </c>
      <c r="M7" s="59" t="s">
        <v>74</v>
      </c>
      <c r="N7" s="59" t="s">
        <v>75</v>
      </c>
      <c r="O7" s="208"/>
      <c r="Q7" s="76" t="s">
        <v>81</v>
      </c>
      <c r="R7" s="77"/>
      <c r="S7" s="78"/>
    </row>
    <row r="8" spans="1:21" x14ac:dyDescent="0.25">
      <c r="B8" s="14" t="s">
        <v>76</v>
      </c>
      <c r="C8" s="49"/>
      <c r="D8" s="49"/>
      <c r="E8" s="49"/>
      <c r="F8" s="49"/>
      <c r="G8" s="14">
        <v>60681</v>
      </c>
      <c r="H8" s="14"/>
      <c r="J8" s="60" t="s">
        <v>77</v>
      </c>
      <c r="K8" s="61"/>
      <c r="L8" s="62">
        <v>5</v>
      </c>
      <c r="M8" s="62">
        <v>403334</v>
      </c>
      <c r="N8" s="62">
        <f>+L8*M8</f>
        <v>2016670</v>
      </c>
      <c r="O8" s="63"/>
      <c r="Q8" s="79" t="s">
        <v>83</v>
      </c>
      <c r="R8" s="80" t="s">
        <v>84</v>
      </c>
      <c r="S8" s="80" t="s">
        <v>85</v>
      </c>
    </row>
    <row r="9" spans="1:21" ht="16.5" thickBot="1" x14ac:dyDescent="0.3">
      <c r="B9" s="14" t="s">
        <v>121</v>
      </c>
      <c r="C9" s="49"/>
      <c r="D9" s="49"/>
      <c r="E9" s="49"/>
      <c r="F9" s="49"/>
      <c r="G9" s="14">
        <v>367500</v>
      </c>
      <c r="H9" s="64"/>
      <c r="J9" s="65" t="s">
        <v>78</v>
      </c>
      <c r="K9" s="66"/>
      <c r="L9" s="67">
        <v>5</v>
      </c>
      <c r="M9" s="67">
        <v>605</v>
      </c>
      <c r="N9" s="68">
        <f>+M9*L9</f>
        <v>3025</v>
      </c>
      <c r="O9" s="69">
        <f>+G11*0.0015</f>
        <v>7128</v>
      </c>
      <c r="Q9" s="83">
        <f>-(T17*G8+T18*G7)</f>
        <v>-173768.22999999998</v>
      </c>
      <c r="R9" s="84">
        <f>-(T17*G8+T19*G7)</f>
        <v>-88401.14</v>
      </c>
      <c r="S9" s="84">
        <f>-(T17*G8+T20*G7)</f>
        <v>-45717.595000000001</v>
      </c>
    </row>
    <row r="10" spans="1:21" x14ac:dyDescent="0.25">
      <c r="H10" s="14"/>
    </row>
    <row r="11" spans="1:21" x14ac:dyDescent="0.25">
      <c r="B11" s="14" t="s">
        <v>79</v>
      </c>
      <c r="C11" s="49"/>
      <c r="D11" s="49"/>
      <c r="E11" s="49"/>
      <c r="F11" s="49"/>
      <c r="G11" s="14">
        <v>4752000</v>
      </c>
      <c r="H11" s="28"/>
    </row>
    <row r="12" spans="1:21" x14ac:dyDescent="0.25">
      <c r="B12" s="70" t="s">
        <v>114</v>
      </c>
      <c r="C12" s="49"/>
      <c r="D12" s="49"/>
      <c r="E12" s="49"/>
      <c r="F12" s="49"/>
      <c r="G12" s="14">
        <v>4027000</v>
      </c>
      <c r="H12" s="14"/>
      <c r="I12" s="2"/>
    </row>
    <row r="13" spans="1:21" x14ac:dyDescent="0.25">
      <c r="B13" s="71"/>
      <c r="F13" s="2"/>
      <c r="G13" s="2"/>
      <c r="H13" s="14"/>
      <c r="J13" s="73" t="s">
        <v>80</v>
      </c>
      <c r="K13" s="74"/>
      <c r="L13" s="74"/>
      <c r="M13" s="74"/>
      <c r="N13" s="75"/>
    </row>
    <row r="14" spans="1:21" x14ac:dyDescent="0.25">
      <c r="B14" s="18" t="s">
        <v>49</v>
      </c>
      <c r="F14" s="72" t="s">
        <v>123</v>
      </c>
      <c r="G14" s="72" t="s">
        <v>122</v>
      </c>
      <c r="H14" s="14"/>
      <c r="J14" s="76" t="s">
        <v>81</v>
      </c>
      <c r="K14" s="77"/>
      <c r="L14" s="78"/>
    </row>
    <row r="15" spans="1:21" x14ac:dyDescent="0.25">
      <c r="B15" s="14" t="s">
        <v>71</v>
      </c>
      <c r="C15" s="49"/>
      <c r="D15" s="49"/>
      <c r="E15" s="49"/>
      <c r="F15" s="14">
        <v>8964890</v>
      </c>
      <c r="G15" s="14">
        <v>8597390</v>
      </c>
      <c r="H15" s="14"/>
      <c r="J15" s="79" t="s">
        <v>83</v>
      </c>
      <c r="K15" s="80" t="s">
        <v>84</v>
      </c>
      <c r="L15" s="80" t="s">
        <v>85</v>
      </c>
    </row>
    <row r="16" spans="1:21" x14ac:dyDescent="0.25">
      <c r="B16" s="14" t="s">
        <v>82</v>
      </c>
      <c r="C16" s="49"/>
      <c r="D16" s="49"/>
      <c r="E16" s="49"/>
      <c r="F16" s="14">
        <v>-353607</v>
      </c>
      <c r="G16" s="14">
        <v>-262171</v>
      </c>
      <c r="J16" s="83">
        <f>-(M24*G8+M26*G7)</f>
        <v>-173768.22999999998</v>
      </c>
      <c r="K16" s="84">
        <f>-(M24*G8+M27*G7)</f>
        <v>-88401.14</v>
      </c>
      <c r="L16" s="84">
        <f>-(M24*G8+M28*G7+G9*M25/12*2)</f>
        <v>-48167.595000000001</v>
      </c>
      <c r="Q16" s="58" t="s">
        <v>90</v>
      </c>
      <c r="R16" s="88"/>
      <c r="S16" s="59" t="s">
        <v>91</v>
      </c>
      <c r="T16" s="89" t="s">
        <v>92</v>
      </c>
    </row>
    <row r="17" spans="1:20" ht="16.5" thickBot="1" x14ac:dyDescent="0.3">
      <c r="B17" s="14" t="s">
        <v>86</v>
      </c>
      <c r="C17" s="49"/>
      <c r="D17" s="49"/>
      <c r="E17" s="49"/>
      <c r="F17" s="81">
        <v>-48168</v>
      </c>
      <c r="G17" s="81">
        <v>-45718</v>
      </c>
      <c r="Q17" s="90" t="s">
        <v>93</v>
      </c>
      <c r="R17" s="90"/>
      <c r="S17" s="90">
        <v>20</v>
      </c>
      <c r="T17" s="91">
        <f>1/S17</f>
        <v>0.05</v>
      </c>
    </row>
    <row r="18" spans="1:20" ht="16.5" thickTop="1" x14ac:dyDescent="0.25">
      <c r="B18" s="2"/>
      <c r="E18" s="85" t="s">
        <v>87</v>
      </c>
      <c r="F18" s="86">
        <f>SUM(F15:F17)</f>
        <v>8563115</v>
      </c>
      <c r="G18" s="86">
        <f>SUM(G15:G17)</f>
        <v>8289501</v>
      </c>
      <c r="H18" s="47"/>
      <c r="Q18" s="90" t="s">
        <v>96</v>
      </c>
      <c r="R18" s="90"/>
      <c r="S18" s="90">
        <v>50</v>
      </c>
      <c r="T18" s="92">
        <f>1/S18</f>
        <v>0.02</v>
      </c>
    </row>
    <row r="19" spans="1:20" x14ac:dyDescent="0.25">
      <c r="B19" s="14"/>
      <c r="D19" s="14"/>
      <c r="E19" s="14"/>
      <c r="F19" s="14"/>
      <c r="G19" s="14"/>
      <c r="Q19" s="90" t="s">
        <v>96</v>
      </c>
      <c r="R19" s="90"/>
      <c r="S19" s="90">
        <v>100</v>
      </c>
      <c r="T19" s="92">
        <f>1/S19</f>
        <v>0.01</v>
      </c>
    </row>
    <row r="20" spans="1:20" x14ac:dyDescent="0.25">
      <c r="A20" s="46" t="s">
        <v>88</v>
      </c>
      <c r="B20" s="18" t="s">
        <v>14</v>
      </c>
      <c r="F20" s="87"/>
      <c r="G20" s="87"/>
      <c r="Q20" s="90" t="s">
        <v>96</v>
      </c>
      <c r="R20" s="90"/>
      <c r="S20" s="90">
        <v>200</v>
      </c>
      <c r="T20" s="92">
        <f>1/S20</f>
        <v>5.0000000000000001E-3</v>
      </c>
    </row>
    <row r="21" spans="1:20" x14ac:dyDescent="0.25">
      <c r="B21" s="209" t="s">
        <v>89</v>
      </c>
      <c r="C21" s="210"/>
      <c r="D21" s="210"/>
      <c r="E21" s="210"/>
      <c r="F21" s="14">
        <f>+G6-G7</f>
        <v>1542051</v>
      </c>
      <c r="G21" s="14">
        <v>1542051</v>
      </c>
    </row>
    <row r="22" spans="1:20" x14ac:dyDescent="0.25">
      <c r="B22" s="94"/>
      <c r="C22" s="95"/>
      <c r="D22" s="95"/>
      <c r="E22" s="95"/>
      <c r="F22" s="14"/>
      <c r="G22" s="14"/>
    </row>
    <row r="23" spans="1:20" x14ac:dyDescent="0.25">
      <c r="A23" s="46" t="s">
        <v>94</v>
      </c>
      <c r="B23" s="96" t="s">
        <v>116</v>
      </c>
      <c r="C23" s="95"/>
      <c r="D23" s="95"/>
      <c r="E23" s="95"/>
      <c r="F23" s="14">
        <v>0</v>
      </c>
      <c r="G23" s="14">
        <v>5462</v>
      </c>
      <c r="J23" s="58" t="s">
        <v>90</v>
      </c>
      <c r="K23" s="88"/>
      <c r="L23" s="59" t="s">
        <v>91</v>
      </c>
      <c r="M23" s="89" t="s">
        <v>92</v>
      </c>
    </row>
    <row r="24" spans="1:20" x14ac:dyDescent="0.25">
      <c r="B24" s="49"/>
      <c r="C24" s="49"/>
      <c r="D24" s="49"/>
      <c r="J24" s="90" t="s">
        <v>93</v>
      </c>
      <c r="K24" s="90"/>
      <c r="L24" s="90">
        <v>20</v>
      </c>
      <c r="M24" s="92">
        <f>1/L24</f>
        <v>0.05</v>
      </c>
    </row>
    <row r="25" spans="1:20" x14ac:dyDescent="0.25">
      <c r="J25" s="97" t="s">
        <v>128</v>
      </c>
      <c r="K25" s="98"/>
      <c r="L25" s="99">
        <v>25</v>
      </c>
      <c r="M25" s="92">
        <v>0.04</v>
      </c>
      <c r="N25" t="s">
        <v>129</v>
      </c>
    </row>
    <row r="26" spans="1:20" x14ac:dyDescent="0.25">
      <c r="A26" s="46" t="s">
        <v>100</v>
      </c>
      <c r="B26" s="46" t="s">
        <v>95</v>
      </c>
      <c r="J26" s="90" t="s">
        <v>96</v>
      </c>
      <c r="K26" s="90"/>
      <c r="L26" s="90">
        <v>50</v>
      </c>
      <c r="M26" s="92">
        <f>1/L26</f>
        <v>0.02</v>
      </c>
    </row>
    <row r="27" spans="1:20" x14ac:dyDescent="0.25">
      <c r="B27" s="49" t="s">
        <v>97</v>
      </c>
      <c r="C27" s="49"/>
      <c r="D27" s="49"/>
      <c r="E27" s="49"/>
      <c r="F27" s="14">
        <v>11585</v>
      </c>
      <c r="G27" s="14">
        <v>11585</v>
      </c>
      <c r="J27" s="90" t="s">
        <v>96</v>
      </c>
      <c r="K27" s="90"/>
      <c r="L27" s="90">
        <v>100</v>
      </c>
      <c r="M27" s="92">
        <f>1/L27</f>
        <v>0.01</v>
      </c>
    </row>
    <row r="28" spans="1:20" ht="16.5" thickBot="1" x14ac:dyDescent="0.3">
      <c r="B28" s="49" t="s">
        <v>98</v>
      </c>
      <c r="C28" s="49"/>
      <c r="D28" s="49"/>
      <c r="E28" s="49"/>
      <c r="F28" s="81">
        <v>13480</v>
      </c>
      <c r="G28" s="81">
        <v>13683</v>
      </c>
      <c r="J28" s="90" t="s">
        <v>96</v>
      </c>
      <c r="K28" s="90"/>
      <c r="L28" s="90">
        <v>200</v>
      </c>
      <c r="M28" s="92">
        <f>1/L28</f>
        <v>5.0000000000000001E-3</v>
      </c>
    </row>
    <row r="29" spans="1:20" ht="16.5" thickTop="1" x14ac:dyDescent="0.25">
      <c r="E29" s="85" t="s">
        <v>99</v>
      </c>
      <c r="F29" s="86">
        <f>SUM(F27:F28)</f>
        <v>25065</v>
      </c>
      <c r="G29" s="86">
        <f>SUM(G27:G28)</f>
        <v>25268</v>
      </c>
    </row>
    <row r="31" spans="1:20" x14ac:dyDescent="0.25">
      <c r="A31" s="46" t="s">
        <v>104</v>
      </c>
      <c r="B31" s="46" t="s">
        <v>105</v>
      </c>
      <c r="F31" s="87"/>
      <c r="G31" s="87"/>
    </row>
    <row r="32" spans="1:20" x14ac:dyDescent="0.25">
      <c r="B32" s="49" t="s">
        <v>125</v>
      </c>
      <c r="C32" s="49"/>
      <c r="D32" s="49"/>
      <c r="E32" s="49"/>
      <c r="F32" s="14">
        <v>0</v>
      </c>
      <c r="G32" s="14">
        <v>-22201</v>
      </c>
    </row>
    <row r="33" spans="1:7" x14ac:dyDescent="0.25">
      <c r="B33" s="49" t="s">
        <v>126</v>
      </c>
      <c r="C33" s="49"/>
      <c r="D33" s="49"/>
      <c r="E33" s="49"/>
      <c r="F33" s="2"/>
    </row>
    <row r="34" spans="1:7" x14ac:dyDescent="0.25">
      <c r="B34" s="49"/>
      <c r="C34" s="49"/>
      <c r="D34" s="49"/>
      <c r="E34" s="49"/>
      <c r="F34" s="2"/>
    </row>
    <row r="35" spans="1:7" x14ac:dyDescent="0.25">
      <c r="A35" s="46" t="s">
        <v>108</v>
      </c>
      <c r="B35" s="46" t="s">
        <v>38</v>
      </c>
      <c r="F35" s="87"/>
      <c r="G35" s="87"/>
    </row>
    <row r="36" spans="1:7" x14ac:dyDescent="0.25">
      <c r="B36" s="49" t="s">
        <v>112</v>
      </c>
      <c r="C36" s="49"/>
      <c r="D36" s="49"/>
      <c r="E36" s="49"/>
      <c r="F36" s="14">
        <v>10080000</v>
      </c>
      <c r="G36" s="14">
        <v>10080000</v>
      </c>
    </row>
  </sheetData>
  <mergeCells count="3">
    <mergeCell ref="B3:G4"/>
    <mergeCell ref="O6:O7"/>
    <mergeCell ref="B21:E21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3"/>
  <sheetViews>
    <sheetView workbookViewId="0">
      <selection activeCell="I26" sqref="I26"/>
    </sheetView>
  </sheetViews>
  <sheetFormatPr defaultColWidth="9.140625" defaultRowHeight="15.75" x14ac:dyDescent="0.25"/>
  <cols>
    <col min="1" max="1" width="42.28515625" style="2" customWidth="1"/>
    <col min="2" max="2" width="12" style="2" customWidth="1"/>
    <col min="3" max="3" width="16" style="35" customWidth="1"/>
    <col min="4" max="4" width="8.28515625" style="27" customWidth="1"/>
    <col min="5" max="5" width="15" style="2" customWidth="1"/>
    <col min="6" max="6" width="1.5703125" style="2" customWidth="1"/>
    <col min="7" max="7" width="3.28515625" style="2" customWidth="1"/>
    <col min="8" max="8" width="43" style="2" customWidth="1"/>
    <col min="9" max="9" width="12.28515625" style="2" customWidth="1"/>
    <col min="10" max="11" width="15.85546875" style="4" customWidth="1"/>
    <col min="12" max="12" width="15.85546875" style="2" customWidth="1"/>
    <col min="13" max="13" width="2" style="2" customWidth="1"/>
    <col min="14" max="14" width="8.85546875" style="2" bestFit="1" customWidth="1"/>
    <col min="15" max="16" width="9.140625" style="2"/>
    <col min="17" max="17" width="13.85546875" style="2" customWidth="1"/>
    <col min="18" max="16384" width="9.140625" style="2"/>
  </cols>
  <sheetData>
    <row r="1" spans="1:23" ht="21" x14ac:dyDescent="0.35">
      <c r="A1" s="1" t="s">
        <v>0</v>
      </c>
      <c r="B1" s="1"/>
      <c r="C1" s="32"/>
      <c r="H1" s="1" t="s">
        <v>1</v>
      </c>
      <c r="I1" s="1"/>
      <c r="J1" s="18"/>
      <c r="K1" s="18"/>
    </row>
    <row r="2" spans="1:23" ht="18.75" x14ac:dyDescent="0.3">
      <c r="A2" s="3" t="s">
        <v>2</v>
      </c>
      <c r="B2" s="3"/>
      <c r="H2" s="3" t="s">
        <v>2</v>
      </c>
      <c r="I2" s="3"/>
    </row>
    <row r="3" spans="1:23" x14ac:dyDescent="0.25">
      <c r="A3" s="4" t="s">
        <v>3</v>
      </c>
      <c r="B3" s="4"/>
      <c r="H3" s="4" t="s">
        <v>3</v>
      </c>
      <c r="I3" s="4"/>
    </row>
    <row r="4" spans="1:23" x14ac:dyDescent="0.25">
      <c r="A4" s="4" t="s">
        <v>4</v>
      </c>
      <c r="B4" s="4"/>
      <c r="H4" s="5" t="s">
        <v>5</v>
      </c>
      <c r="I4" s="5"/>
      <c r="J4" s="5"/>
      <c r="K4" s="5"/>
    </row>
    <row r="5" spans="1:23" x14ac:dyDescent="0.25">
      <c r="H5" s="6"/>
      <c r="I5" s="6"/>
      <c r="J5" s="6"/>
      <c r="K5" s="6"/>
    </row>
    <row r="6" spans="1:23" ht="18.75" x14ac:dyDescent="0.3">
      <c r="A6" s="7" t="s">
        <v>6</v>
      </c>
      <c r="B6" s="7"/>
      <c r="C6" s="32"/>
      <c r="H6" s="7" t="s">
        <v>7</v>
      </c>
      <c r="I6" s="7"/>
      <c r="J6" s="18"/>
      <c r="K6" s="18"/>
      <c r="M6" s="8"/>
    </row>
    <row r="7" spans="1:23" ht="18.75" x14ac:dyDescent="0.3">
      <c r="A7" s="9" t="s">
        <v>8</v>
      </c>
      <c r="B7" s="9"/>
      <c r="C7" s="10" t="s">
        <v>61</v>
      </c>
      <c r="D7" s="10"/>
      <c r="E7" s="10" t="s">
        <v>9</v>
      </c>
      <c r="F7" s="10"/>
      <c r="H7" s="11" t="s">
        <v>10</v>
      </c>
      <c r="I7" s="11"/>
      <c r="J7" s="26" t="s">
        <v>59</v>
      </c>
      <c r="K7" s="26"/>
      <c r="L7" s="12">
        <v>41639</v>
      </c>
      <c r="M7" s="13"/>
      <c r="N7" s="14"/>
    </row>
    <row r="8" spans="1:23" s="14" customFormat="1" x14ac:dyDescent="0.25">
      <c r="A8" s="2" t="s">
        <v>11</v>
      </c>
      <c r="B8" s="2"/>
      <c r="C8" s="35">
        <v>139020</v>
      </c>
      <c r="D8" s="28"/>
      <c r="E8" s="4">
        <v>139020</v>
      </c>
      <c r="F8" s="4"/>
      <c r="G8" s="2"/>
      <c r="H8" s="2" t="s">
        <v>12</v>
      </c>
      <c r="I8" s="2" t="s">
        <v>66</v>
      </c>
      <c r="J8" s="4">
        <v>8243783</v>
      </c>
      <c r="K8" s="4"/>
      <c r="L8" s="4">
        <v>8289502</v>
      </c>
      <c r="M8" s="4"/>
      <c r="N8" s="2"/>
    </row>
    <row r="9" spans="1:23" s="14" customFormat="1" ht="16.5" thickBot="1" x14ac:dyDescent="0.3">
      <c r="A9" s="2" t="s">
        <v>13</v>
      </c>
      <c r="B9" s="2" t="s">
        <v>104</v>
      </c>
      <c r="C9" s="42">
        <v>0</v>
      </c>
      <c r="D9" s="28"/>
      <c r="E9" s="15">
        <f>+[1]Noter!F29</f>
        <v>11675</v>
      </c>
      <c r="F9" s="4"/>
      <c r="G9" s="2"/>
      <c r="H9" s="2" t="s">
        <v>14</v>
      </c>
      <c r="I9" s="2" t="s">
        <v>88</v>
      </c>
      <c r="J9" s="15">
        <v>1542051</v>
      </c>
      <c r="K9" s="15"/>
      <c r="L9" s="15">
        <f>+[1]Noter!F20</f>
        <v>1542051</v>
      </c>
      <c r="M9" s="15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6.5" thickTop="1" x14ac:dyDescent="0.25">
      <c r="A10" s="16" t="s">
        <v>15</v>
      </c>
      <c r="B10" s="16"/>
      <c r="C10" s="33">
        <v>139020</v>
      </c>
      <c r="D10" s="29"/>
      <c r="E10" s="16">
        <f>SUM(E8:E9)</f>
        <v>150695</v>
      </c>
      <c r="F10" s="16"/>
      <c r="H10" s="17" t="s">
        <v>16</v>
      </c>
      <c r="I10" s="17"/>
      <c r="J10" s="16">
        <f>J8+J9</f>
        <v>9785834</v>
      </c>
      <c r="K10" s="16"/>
      <c r="L10" s="16">
        <f>SUM(L8:L9)</f>
        <v>9831553</v>
      </c>
      <c r="M10" s="16"/>
    </row>
    <row r="11" spans="1:23" s="25" customFormat="1" x14ac:dyDescent="0.25">
      <c r="A11" s="23"/>
      <c r="B11" s="23"/>
      <c r="C11" s="36"/>
      <c r="D11" s="30"/>
      <c r="E11" s="23"/>
      <c r="F11" s="23"/>
      <c r="H11" s="24"/>
      <c r="I11" s="24"/>
      <c r="J11" s="23"/>
      <c r="K11" s="23"/>
      <c r="L11" s="23"/>
      <c r="M11" s="23"/>
    </row>
    <row r="12" spans="1:23" x14ac:dyDescent="0.25">
      <c r="A12" s="18"/>
      <c r="B12" s="18"/>
      <c r="C12" s="32"/>
      <c r="D12" s="31"/>
      <c r="E12" s="18"/>
      <c r="F12" s="18"/>
      <c r="H12" s="43" t="s">
        <v>60</v>
      </c>
      <c r="I12" s="41" t="s">
        <v>94</v>
      </c>
      <c r="J12" s="38">
        <v>5462</v>
      </c>
      <c r="K12" s="38"/>
      <c r="L12" s="38"/>
      <c r="M12" s="38"/>
    </row>
    <row r="13" spans="1:23" s="14" customFormat="1" ht="18.75" x14ac:dyDescent="0.3">
      <c r="A13" s="7" t="s">
        <v>17</v>
      </c>
      <c r="B13" s="7"/>
      <c r="C13" s="32"/>
      <c r="D13" s="27"/>
      <c r="E13" s="4"/>
      <c r="F13" s="4"/>
      <c r="G13" s="2"/>
      <c r="H13" s="19"/>
      <c r="I13" s="19"/>
      <c r="J13" s="18"/>
      <c r="K13" s="18"/>
      <c r="L13" s="18"/>
      <c r="M13" s="18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14" customFormat="1" x14ac:dyDescent="0.25">
      <c r="A14" s="9" t="s">
        <v>18</v>
      </c>
      <c r="B14" s="9"/>
      <c r="C14" s="10"/>
      <c r="D14" s="10"/>
      <c r="E14" s="13"/>
      <c r="F14" s="13"/>
      <c r="G14" s="2"/>
      <c r="H14" s="11" t="s">
        <v>19</v>
      </c>
      <c r="I14" s="11"/>
      <c r="J14" s="9"/>
      <c r="K14" s="9"/>
      <c r="L14" s="13"/>
      <c r="M14" s="13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s="14" customFormat="1" x14ac:dyDescent="0.25">
      <c r="A15" s="2" t="s">
        <v>20</v>
      </c>
      <c r="B15" s="2"/>
      <c r="C15" s="35">
        <v>-700</v>
      </c>
      <c r="D15" s="32"/>
      <c r="E15" s="4">
        <v>0</v>
      </c>
      <c r="F15" s="4"/>
      <c r="G15" s="2"/>
      <c r="H15" s="2" t="s">
        <v>21</v>
      </c>
      <c r="I15" s="2"/>
      <c r="J15" s="4">
        <v>199446</v>
      </c>
      <c r="K15" s="4"/>
      <c r="L15" s="4">
        <f>70878+55557</f>
        <v>126435</v>
      </c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s="14" customFormat="1" x14ac:dyDescent="0.25">
      <c r="A16" s="2" t="s">
        <v>22</v>
      </c>
      <c r="B16" s="2" t="s">
        <v>108</v>
      </c>
      <c r="C16" s="35">
        <v>22201</v>
      </c>
      <c r="D16" s="28"/>
      <c r="E16" s="4">
        <f>-[1]Noter!F33</f>
        <v>-22201</v>
      </c>
      <c r="F16" s="4"/>
      <c r="G16" s="2"/>
      <c r="H16" s="2" t="s">
        <v>23</v>
      </c>
      <c r="I16" s="2"/>
      <c r="J16" s="4">
        <v>156384</v>
      </c>
      <c r="K16" s="4"/>
      <c r="L16" s="4">
        <v>154166.95000000001</v>
      </c>
      <c r="M16" s="4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6" s="14" customFormat="1" x14ac:dyDescent="0.25">
      <c r="A17" s="2" t="s">
        <v>24</v>
      </c>
      <c r="B17" s="2"/>
      <c r="C17" s="35">
        <v>-3969</v>
      </c>
      <c r="D17" s="28"/>
      <c r="E17" s="4">
        <f>-553-321</f>
        <v>-874</v>
      </c>
      <c r="F17" s="4"/>
      <c r="G17" s="2"/>
      <c r="H17" s="17" t="s">
        <v>25</v>
      </c>
      <c r="I17" s="17"/>
      <c r="J17" s="16">
        <f>J15+J16</f>
        <v>355830</v>
      </c>
      <c r="K17" s="16"/>
      <c r="L17" s="16">
        <f>SUM(L15:L16)</f>
        <v>280601.95</v>
      </c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6" s="14" customFormat="1" x14ac:dyDescent="0.25">
      <c r="A18" s="2" t="s">
        <v>26</v>
      </c>
      <c r="B18" s="2"/>
      <c r="C18" s="35">
        <v>-10284</v>
      </c>
      <c r="D18" s="28"/>
      <c r="E18" s="4">
        <v>-11474</v>
      </c>
      <c r="F18" s="4"/>
      <c r="G18" s="2"/>
      <c r="H18" s="19"/>
      <c r="I18" s="19"/>
      <c r="J18" s="18"/>
      <c r="K18" s="18"/>
      <c r="L18" s="18"/>
      <c r="M18" s="18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6" s="14" customFormat="1" ht="18.75" x14ac:dyDescent="0.3">
      <c r="A19" s="2" t="s">
        <v>27</v>
      </c>
      <c r="B19" s="2"/>
      <c r="C19" s="35">
        <v>-8227</v>
      </c>
      <c r="D19" s="28"/>
      <c r="E19" s="4">
        <v>-4965</v>
      </c>
      <c r="F19" s="4"/>
      <c r="G19" s="2"/>
      <c r="H19" s="20" t="s">
        <v>28</v>
      </c>
      <c r="I19" s="20"/>
      <c r="J19" s="16">
        <f>J10+J12+J17</f>
        <v>10147126</v>
      </c>
      <c r="K19" s="16"/>
      <c r="L19" s="16">
        <f>+L17+L10</f>
        <v>10112154.949999999</v>
      </c>
      <c r="M19" s="16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6" s="14" customFormat="1" ht="18.75" x14ac:dyDescent="0.3">
      <c r="A20" s="2" t="s">
        <v>29</v>
      </c>
      <c r="B20" s="2"/>
      <c r="C20" s="35">
        <v>-38449</v>
      </c>
      <c r="D20" s="28"/>
      <c r="E20" s="4">
        <v>-41931</v>
      </c>
      <c r="F20" s="4"/>
      <c r="G20" s="2"/>
      <c r="H20" s="7"/>
      <c r="I20" s="7"/>
      <c r="J20" s="18"/>
      <c r="K20" s="18"/>
      <c r="L20" s="18"/>
      <c r="M20" s="18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6" s="14" customFormat="1" x14ac:dyDescent="0.25">
      <c r="A21" s="2" t="s">
        <v>30</v>
      </c>
      <c r="B21" s="2"/>
      <c r="C21" s="35">
        <v>-10333</v>
      </c>
      <c r="D21" s="28"/>
      <c r="E21" s="4">
        <v>-8275.5499999999993</v>
      </c>
      <c r="F21" s="4"/>
      <c r="G21" s="2"/>
      <c r="J21" s="4"/>
      <c r="K21" s="4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6" s="14" customFormat="1" x14ac:dyDescent="0.25">
      <c r="A22" s="2" t="s">
        <v>31</v>
      </c>
      <c r="B22" s="2"/>
      <c r="C22" s="35">
        <v>-5448</v>
      </c>
      <c r="D22" s="28"/>
      <c r="E22" s="4">
        <v>-5328</v>
      </c>
      <c r="F22" s="4"/>
      <c r="G22" s="2"/>
      <c r="J22" s="4"/>
      <c r="K22" s="4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6" s="14" customFormat="1" x14ac:dyDescent="0.25">
      <c r="A23" s="2" t="s">
        <v>32</v>
      </c>
      <c r="B23" s="2"/>
      <c r="C23" s="35">
        <v>-778</v>
      </c>
      <c r="D23" s="28"/>
      <c r="E23" s="4">
        <v>-932.43</v>
      </c>
      <c r="F23" s="4"/>
      <c r="G23" s="2"/>
      <c r="J23" s="4"/>
      <c r="K23" s="4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6" s="14" customFormat="1" ht="18.75" x14ac:dyDescent="0.3">
      <c r="A24" s="2" t="s">
        <v>33</v>
      </c>
      <c r="B24" s="2" t="s">
        <v>111</v>
      </c>
      <c r="C24" s="35">
        <v>0</v>
      </c>
      <c r="D24" s="28"/>
      <c r="E24" s="4">
        <f>-[1]Noter!F37</f>
        <v>-9884</v>
      </c>
      <c r="F24" s="4"/>
      <c r="G24" s="2"/>
      <c r="H24" s="7" t="s">
        <v>34</v>
      </c>
      <c r="I24" s="7"/>
      <c r="J24" s="18"/>
      <c r="K24" s="18"/>
      <c r="L24" s="4"/>
      <c r="M24" s="4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6" s="14" customFormat="1" x14ac:dyDescent="0.25">
      <c r="A25" s="2" t="s">
        <v>35</v>
      </c>
      <c r="B25" s="2"/>
      <c r="C25" s="35">
        <v>-1549</v>
      </c>
      <c r="D25" s="28"/>
      <c r="E25" s="4">
        <v>-4743</v>
      </c>
      <c r="F25" s="4"/>
      <c r="G25" s="2"/>
      <c r="H25" s="11" t="s">
        <v>36</v>
      </c>
      <c r="I25" s="11"/>
      <c r="J25" s="9"/>
      <c r="K25" s="9"/>
      <c r="L25" s="9"/>
      <c r="M25" s="13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6" s="14" customFormat="1" ht="16.5" thickBot="1" x14ac:dyDescent="0.3">
      <c r="A26" s="2" t="s">
        <v>37</v>
      </c>
      <c r="B26" s="2"/>
      <c r="C26" s="35">
        <v>-3526</v>
      </c>
      <c r="D26" s="28"/>
      <c r="E26" s="4">
        <f>-1689-800</f>
        <v>-2489</v>
      </c>
      <c r="F26" s="4"/>
      <c r="G26" s="2"/>
      <c r="H26" s="2" t="s">
        <v>38</v>
      </c>
      <c r="I26" s="2" t="s">
        <v>117</v>
      </c>
      <c r="J26" s="15">
        <v>10080000</v>
      </c>
      <c r="K26" s="15"/>
      <c r="L26" s="15">
        <v>10080000</v>
      </c>
      <c r="M26" s="4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6" s="14" customFormat="1" ht="17.25" thickTop="1" thickBot="1" x14ac:dyDescent="0.3">
      <c r="A27" s="2" t="s">
        <v>39</v>
      </c>
      <c r="B27" s="2"/>
      <c r="C27" s="42">
        <v>-866</v>
      </c>
      <c r="D27" s="28"/>
      <c r="E27" s="15">
        <v>-868</v>
      </c>
      <c r="F27" s="4"/>
      <c r="G27" s="2"/>
      <c r="H27" s="17" t="s">
        <v>40</v>
      </c>
      <c r="I27" s="17"/>
      <c r="J27" s="16">
        <v>10080000</v>
      </c>
      <c r="K27" s="16"/>
      <c r="L27" s="16">
        <f>+L26</f>
        <v>10080000</v>
      </c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6" ht="16.5" thickTop="1" x14ac:dyDescent="0.25">
      <c r="A28" s="16" t="s">
        <v>41</v>
      </c>
      <c r="B28" s="16"/>
      <c r="C28" s="33">
        <f>SUM(C15:C27)</f>
        <v>-61928</v>
      </c>
      <c r="D28" s="33"/>
      <c r="E28" s="16">
        <f>SUM(E15:E27)</f>
        <v>-113964.98</v>
      </c>
      <c r="F28" s="16"/>
      <c r="L28" s="4"/>
      <c r="M28" s="4"/>
    </row>
    <row r="29" spans="1:26" s="25" customFormat="1" x14ac:dyDescent="0.25">
      <c r="A29" s="23"/>
      <c r="B29" s="23"/>
      <c r="C29" s="36"/>
      <c r="D29" s="36"/>
      <c r="E29" s="23"/>
      <c r="F29" s="23"/>
      <c r="J29" s="37"/>
      <c r="K29" s="37"/>
      <c r="L29" s="37"/>
      <c r="M29" s="37"/>
    </row>
    <row r="30" spans="1:26" s="41" customFormat="1" x14ac:dyDescent="0.25">
      <c r="A30" s="38" t="s">
        <v>62</v>
      </c>
      <c r="B30" s="38"/>
      <c r="C30" s="39">
        <v>-3025</v>
      </c>
      <c r="D30" s="39"/>
      <c r="E30" s="38"/>
      <c r="F30" s="38"/>
      <c r="G30" s="25"/>
      <c r="H30" s="25"/>
      <c r="I30" s="25"/>
      <c r="J30" s="37"/>
      <c r="K30" s="37"/>
      <c r="L30" s="37"/>
      <c r="M30" s="40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x14ac:dyDescent="0.25">
      <c r="A31" s="14"/>
      <c r="B31" s="14"/>
      <c r="D31" s="28"/>
      <c r="E31" s="22"/>
      <c r="F31" s="4"/>
      <c r="H31" s="11" t="s">
        <v>42</v>
      </c>
      <c r="I31" s="11"/>
      <c r="J31" s="9"/>
      <c r="K31" s="9"/>
      <c r="L31" s="13"/>
      <c r="M31" s="13"/>
    </row>
    <row r="32" spans="1:26" x14ac:dyDescent="0.25">
      <c r="A32" s="9" t="s">
        <v>43</v>
      </c>
      <c r="B32" s="9"/>
      <c r="C32" s="10"/>
      <c r="D32" s="10"/>
      <c r="E32" s="13"/>
      <c r="F32" s="13"/>
      <c r="H32" s="2" t="s">
        <v>44</v>
      </c>
      <c r="J32" s="4">
        <v>10872</v>
      </c>
      <c r="L32" s="4">
        <v>16659</v>
      </c>
      <c r="M32" s="4"/>
    </row>
    <row r="33" spans="1:17" ht="16.5" thickBot="1" x14ac:dyDescent="0.3">
      <c r="A33" s="2" t="s">
        <v>45</v>
      </c>
      <c r="C33" s="42">
        <v>2638</v>
      </c>
      <c r="E33" s="15">
        <v>3200.07</v>
      </c>
      <c r="F33" s="4"/>
      <c r="H33" s="2" t="s">
        <v>46</v>
      </c>
      <c r="J33" s="15">
        <v>30987</v>
      </c>
      <c r="K33" s="15"/>
      <c r="L33" s="15">
        <v>-5788</v>
      </c>
      <c r="M33" s="4"/>
    </row>
    <row r="34" spans="1:17" ht="16.5" thickTop="1" x14ac:dyDescent="0.25">
      <c r="A34" s="16" t="s">
        <v>47</v>
      </c>
      <c r="B34" s="16"/>
      <c r="C34" s="33">
        <v>2638</v>
      </c>
      <c r="D34" s="33"/>
      <c r="E34" s="16">
        <f>+E33</f>
        <v>3200.07</v>
      </c>
      <c r="F34" s="21"/>
      <c r="H34" s="17" t="s">
        <v>48</v>
      </c>
      <c r="I34" s="17"/>
      <c r="J34" s="16">
        <v>41858</v>
      </c>
      <c r="K34" s="16"/>
      <c r="L34" s="16">
        <v>10872</v>
      </c>
      <c r="M34" s="16"/>
    </row>
    <row r="35" spans="1:17" x14ac:dyDescent="0.25">
      <c r="E35" s="4"/>
      <c r="F35" s="4"/>
      <c r="H35" s="19"/>
      <c r="I35" s="19"/>
      <c r="J35" s="18"/>
      <c r="K35" s="18"/>
      <c r="L35" s="18"/>
      <c r="M35" s="18"/>
    </row>
    <row r="36" spans="1:17" x14ac:dyDescent="0.25">
      <c r="A36" s="9" t="s">
        <v>49</v>
      </c>
      <c r="B36" s="9"/>
      <c r="C36" s="10"/>
      <c r="D36" s="10"/>
      <c r="E36" s="13"/>
      <c r="F36" s="13"/>
      <c r="H36" s="11" t="s">
        <v>50</v>
      </c>
      <c r="I36" s="11"/>
      <c r="J36" s="9"/>
      <c r="K36" s="9"/>
      <c r="L36" s="13"/>
      <c r="M36" s="13"/>
    </row>
    <row r="37" spans="1:17" x14ac:dyDescent="0.25">
      <c r="A37" s="2" t="s">
        <v>51</v>
      </c>
      <c r="C37" s="35">
        <v>0</v>
      </c>
      <c r="E37" s="4">
        <v>0</v>
      </c>
      <c r="F37" s="4"/>
      <c r="H37" s="2" t="s">
        <v>52</v>
      </c>
      <c r="J37" s="4">
        <v>0</v>
      </c>
      <c r="L37" s="4">
        <v>0</v>
      </c>
      <c r="M37" s="4"/>
    </row>
    <row r="38" spans="1:17" ht="16.5" thickBot="1" x14ac:dyDescent="0.3">
      <c r="A38" s="2" t="s">
        <v>53</v>
      </c>
      <c r="C38" s="42">
        <v>-45718</v>
      </c>
      <c r="E38" s="15">
        <v>-45718</v>
      </c>
      <c r="F38" s="4"/>
      <c r="H38" s="2" t="s">
        <v>54</v>
      </c>
      <c r="I38" s="2" t="s">
        <v>100</v>
      </c>
      <c r="J38" s="44">
        <v>25268</v>
      </c>
      <c r="L38" s="4">
        <f>+[1]Noter!F26</f>
        <v>21283</v>
      </c>
      <c r="M38" s="4"/>
    </row>
    <row r="39" spans="1:17" ht="16.5" thickTop="1" x14ac:dyDescent="0.25">
      <c r="A39" s="17" t="s">
        <v>55</v>
      </c>
      <c r="B39" s="17"/>
      <c r="C39" s="33">
        <v>-45718</v>
      </c>
      <c r="D39" s="34"/>
      <c r="E39" s="16">
        <f>SUM(E37:E38)</f>
        <v>-45718</v>
      </c>
      <c r="F39" s="21"/>
      <c r="H39" s="17" t="s">
        <v>56</v>
      </c>
      <c r="I39" s="17"/>
      <c r="J39" s="16">
        <v>25268</v>
      </c>
      <c r="K39" s="16"/>
      <c r="L39" s="16">
        <f>SUM(L37:L38)</f>
        <v>21283</v>
      </c>
      <c r="M39" s="16"/>
    </row>
    <row r="40" spans="1:17" x14ac:dyDescent="0.25">
      <c r="E40" s="4"/>
      <c r="F40" s="4"/>
    </row>
    <row r="41" spans="1:17" x14ac:dyDescent="0.25">
      <c r="A41" s="19" t="s">
        <v>57</v>
      </c>
      <c r="B41" s="19"/>
      <c r="C41" s="32">
        <v>0</v>
      </c>
      <c r="E41" s="4">
        <v>0</v>
      </c>
      <c r="F41" s="4"/>
      <c r="L41" s="4"/>
      <c r="M41" s="4"/>
    </row>
    <row r="42" spans="1:17" x14ac:dyDescent="0.25">
      <c r="E42" s="4"/>
      <c r="F42" s="4"/>
      <c r="Q42" s="22"/>
    </row>
    <row r="43" spans="1:17" ht="18.75" x14ac:dyDescent="0.3">
      <c r="A43" s="20" t="s">
        <v>46</v>
      </c>
      <c r="B43" s="20"/>
      <c r="C43" s="33">
        <v>30987</v>
      </c>
      <c r="D43" s="33"/>
      <c r="E43" s="16">
        <f>+E41+E39+E33+E28+E10</f>
        <v>-5787.9100000000035</v>
      </c>
      <c r="F43" s="16"/>
      <c r="H43" s="20" t="s">
        <v>58</v>
      </c>
      <c r="I43" s="20"/>
      <c r="J43" s="16">
        <f>J27+J34+J39</f>
        <v>10147126</v>
      </c>
      <c r="K43" s="16"/>
      <c r="L43" s="16">
        <f>+L39+L34+L27</f>
        <v>10112155</v>
      </c>
      <c r="M43" s="21"/>
    </row>
    <row r="44" spans="1:17" x14ac:dyDescent="0.25">
      <c r="N44" s="14"/>
    </row>
    <row r="48" spans="1:17" x14ac:dyDescent="0.25">
      <c r="G48" s="14"/>
    </row>
    <row r="49" spans="1:7" x14ac:dyDescent="0.25">
      <c r="G49" s="14"/>
    </row>
    <row r="50" spans="1:7" x14ac:dyDescent="0.25">
      <c r="A50" s="14"/>
      <c r="B50" s="14"/>
      <c r="D50" s="28"/>
      <c r="E50" s="14"/>
      <c r="F50" s="14"/>
      <c r="G50" s="14"/>
    </row>
    <row r="51" spans="1:7" x14ac:dyDescent="0.25">
      <c r="A51" s="14"/>
      <c r="B51" s="14"/>
      <c r="D51" s="28"/>
      <c r="E51" s="14"/>
      <c r="F51" s="14"/>
      <c r="G51" s="14"/>
    </row>
    <row r="52" spans="1:7" x14ac:dyDescent="0.25">
      <c r="A52" s="14"/>
      <c r="B52" s="14"/>
      <c r="D52" s="28"/>
      <c r="E52" s="14"/>
      <c r="F52" s="14"/>
    </row>
    <row r="53" spans="1:7" x14ac:dyDescent="0.25">
      <c r="A53" s="14"/>
      <c r="B53" s="14"/>
      <c r="D53" s="28"/>
      <c r="E53" s="14"/>
      <c r="F53" s="1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2"/>
  <sheetViews>
    <sheetView workbookViewId="0">
      <selection activeCell="J13" sqref="J13:N27"/>
    </sheetView>
  </sheetViews>
  <sheetFormatPr defaultRowHeight="15.75" x14ac:dyDescent="0.25"/>
  <cols>
    <col min="1" max="1" width="7.42578125" style="46" customWidth="1"/>
    <col min="2" max="2" width="26.28515625" customWidth="1"/>
    <col min="3" max="3" width="6.7109375" customWidth="1"/>
    <col min="4" max="4" width="8.5703125" customWidth="1"/>
    <col min="5" max="5" width="10.7109375" customWidth="1"/>
    <col min="6" max="7" width="13" bestFit="1" customWidth="1"/>
    <col min="8" max="8" width="6.5703125" customWidth="1"/>
    <col min="10" max="10" width="9.28515625" customWidth="1"/>
    <col min="11" max="11" width="9.140625" customWidth="1"/>
    <col min="12" max="12" width="8.5703125" customWidth="1"/>
    <col min="13" max="13" width="10.7109375" bestFit="1" customWidth="1"/>
    <col min="14" max="14" width="9.5703125" bestFit="1" customWidth="1"/>
  </cols>
  <sheetData>
    <row r="1" spans="1:15" ht="21" x14ac:dyDescent="0.35">
      <c r="A1" s="45" t="s">
        <v>113</v>
      </c>
    </row>
    <row r="2" spans="1:15" x14ac:dyDescent="0.25">
      <c r="A2" s="46" t="s">
        <v>63</v>
      </c>
      <c r="B2" s="18" t="s">
        <v>64</v>
      </c>
    </row>
    <row r="3" spans="1:15" x14ac:dyDescent="0.25">
      <c r="B3" s="205" t="s">
        <v>65</v>
      </c>
      <c r="C3" s="205"/>
      <c r="D3" s="205"/>
      <c r="E3" s="205"/>
      <c r="F3" s="205"/>
      <c r="G3" s="205"/>
      <c r="H3" s="47"/>
    </row>
    <row r="4" spans="1:15" x14ac:dyDescent="0.25">
      <c r="B4" s="206"/>
      <c r="C4" s="206"/>
      <c r="D4" s="206"/>
      <c r="E4" s="206"/>
      <c r="F4" s="206"/>
      <c r="G4" s="206"/>
    </row>
    <row r="5" spans="1:15" ht="16.5" thickBot="1" x14ac:dyDescent="0.3">
      <c r="A5" s="46" t="s">
        <v>66</v>
      </c>
      <c r="B5" s="46" t="s">
        <v>67</v>
      </c>
      <c r="F5" s="48"/>
    </row>
    <row r="6" spans="1:15" x14ac:dyDescent="0.25">
      <c r="B6" s="14" t="s">
        <v>68</v>
      </c>
      <c r="C6" s="49"/>
      <c r="D6" s="49"/>
      <c r="E6" s="49"/>
      <c r="F6" s="49"/>
      <c r="G6" s="14">
        <v>10078760</v>
      </c>
      <c r="J6" s="50" t="s">
        <v>62</v>
      </c>
      <c r="K6" s="51"/>
      <c r="L6" s="52" t="s">
        <v>69</v>
      </c>
      <c r="M6" s="53"/>
      <c r="N6" s="53"/>
      <c r="O6" s="207" t="s">
        <v>70</v>
      </c>
    </row>
    <row r="7" spans="1:15" x14ac:dyDescent="0.25">
      <c r="B7" s="14" t="s">
        <v>71</v>
      </c>
      <c r="C7" s="54">
        <f>+G7/G6</f>
        <v>0.84699992856264061</v>
      </c>
      <c r="D7" s="49" t="s">
        <v>72</v>
      </c>
      <c r="E7" s="55"/>
      <c r="F7" s="49"/>
      <c r="G7" s="14">
        <v>8536709</v>
      </c>
      <c r="J7" s="56"/>
      <c r="K7" s="57"/>
      <c r="L7" s="58" t="s">
        <v>73</v>
      </c>
      <c r="M7" s="59" t="s">
        <v>74</v>
      </c>
      <c r="N7" s="59" t="s">
        <v>75</v>
      </c>
      <c r="O7" s="208"/>
    </row>
    <row r="8" spans="1:15" x14ac:dyDescent="0.25">
      <c r="B8" s="14" t="s">
        <v>76</v>
      </c>
      <c r="C8" s="49"/>
      <c r="D8" s="49"/>
      <c r="E8" s="49"/>
      <c r="F8" s="49"/>
      <c r="G8" s="14">
        <v>60681</v>
      </c>
      <c r="H8" s="14"/>
      <c r="J8" s="60" t="s">
        <v>77</v>
      </c>
      <c r="K8" s="61"/>
      <c r="L8" s="62">
        <v>5</v>
      </c>
      <c r="M8" s="62">
        <v>403334</v>
      </c>
      <c r="N8" s="62">
        <f>+L8*M8</f>
        <v>2016670</v>
      </c>
      <c r="O8" s="63"/>
    </row>
    <row r="9" spans="1:15" ht="16.5" thickBot="1" x14ac:dyDescent="0.3">
      <c r="H9" s="64"/>
      <c r="J9" s="65" t="s">
        <v>78</v>
      </c>
      <c r="K9" s="66"/>
      <c r="L9" s="67">
        <v>5</v>
      </c>
      <c r="M9" s="67">
        <v>605</v>
      </c>
      <c r="N9" s="68">
        <f>+M9*L9</f>
        <v>3025</v>
      </c>
      <c r="O9" s="69">
        <f>+G10*0.0015</f>
        <v>7128</v>
      </c>
    </row>
    <row r="10" spans="1:15" x14ac:dyDescent="0.25">
      <c r="B10" s="14" t="s">
        <v>79</v>
      </c>
      <c r="C10" s="49"/>
      <c r="D10" s="49"/>
      <c r="E10" s="49"/>
      <c r="F10" s="49"/>
      <c r="G10" s="14">
        <v>4752000</v>
      </c>
      <c r="H10" s="14"/>
    </row>
    <row r="11" spans="1:15" x14ac:dyDescent="0.25">
      <c r="B11" s="70" t="s">
        <v>114</v>
      </c>
      <c r="C11" s="49"/>
      <c r="D11" s="49"/>
      <c r="E11" s="49"/>
      <c r="F11" s="49"/>
      <c r="G11" s="14">
        <v>4027000</v>
      </c>
      <c r="H11" s="28"/>
    </row>
    <row r="12" spans="1:15" x14ac:dyDescent="0.25">
      <c r="B12" s="71"/>
      <c r="F12" s="2"/>
      <c r="G12" s="2"/>
      <c r="H12" s="14"/>
      <c r="I12" s="2"/>
    </row>
    <row r="13" spans="1:15" x14ac:dyDescent="0.25">
      <c r="B13" s="18" t="s">
        <v>49</v>
      </c>
      <c r="F13" s="72">
        <v>42004</v>
      </c>
      <c r="G13" s="72" t="s">
        <v>115</v>
      </c>
      <c r="H13" s="14"/>
      <c r="J13" s="73" t="s">
        <v>80</v>
      </c>
      <c r="K13" s="74"/>
      <c r="L13" s="74"/>
      <c r="M13" s="74"/>
      <c r="N13" s="75"/>
    </row>
    <row r="14" spans="1:15" x14ac:dyDescent="0.25">
      <c r="B14" s="14" t="s">
        <v>71</v>
      </c>
      <c r="C14" s="49"/>
      <c r="D14" s="49"/>
      <c r="E14" s="49"/>
      <c r="F14" s="14">
        <v>8597390</v>
      </c>
      <c r="G14" s="14">
        <v>8597390</v>
      </c>
      <c r="H14" s="14"/>
      <c r="J14" s="76" t="s">
        <v>81</v>
      </c>
      <c r="K14" s="77"/>
      <c r="L14" s="78"/>
    </row>
    <row r="15" spans="1:15" x14ac:dyDescent="0.25">
      <c r="B15" s="14" t="s">
        <v>82</v>
      </c>
      <c r="C15" s="49"/>
      <c r="D15" s="49"/>
      <c r="E15" s="49"/>
      <c r="F15" s="14">
        <f>+G15+G16</f>
        <v>-307889</v>
      </c>
      <c r="G15" s="14">
        <v>-262171</v>
      </c>
      <c r="H15" s="14"/>
      <c r="J15" s="79" t="s">
        <v>83</v>
      </c>
      <c r="K15" s="80" t="s">
        <v>84</v>
      </c>
      <c r="L15" s="80" t="s">
        <v>85</v>
      </c>
    </row>
    <row r="16" spans="1:15" ht="16.5" thickBot="1" x14ac:dyDescent="0.3">
      <c r="B16" s="14" t="s">
        <v>86</v>
      </c>
      <c r="C16" s="49"/>
      <c r="D16" s="49"/>
      <c r="E16" s="49"/>
      <c r="F16" s="81">
        <v>-45718</v>
      </c>
      <c r="G16" s="82">
        <v>-45718</v>
      </c>
      <c r="J16" s="83">
        <f>-(M24*G8+M25*G7)</f>
        <v>-173768.22999999998</v>
      </c>
      <c r="K16" s="84">
        <f>-(M24*G8+M26*G7)</f>
        <v>-88401.14</v>
      </c>
      <c r="L16" s="84">
        <f>-(M24*G8+M27*G7)</f>
        <v>-45717.595000000001</v>
      </c>
    </row>
    <row r="17" spans="1:13" ht="16.5" thickTop="1" x14ac:dyDescent="0.25">
      <c r="B17" s="2"/>
      <c r="E17" s="85" t="s">
        <v>87</v>
      </c>
      <c r="F17" s="86">
        <f>SUM(F14:F16)</f>
        <v>8243783</v>
      </c>
      <c r="G17" s="86">
        <f>SUM(G14:G16)</f>
        <v>8289501</v>
      </c>
    </row>
    <row r="18" spans="1:13" x14ac:dyDescent="0.25">
      <c r="B18" s="14"/>
      <c r="D18" s="14"/>
      <c r="E18" s="14"/>
      <c r="F18" s="14"/>
      <c r="G18" s="14"/>
      <c r="H18" s="47"/>
    </row>
    <row r="19" spans="1:13" x14ac:dyDescent="0.25">
      <c r="A19" s="46" t="s">
        <v>88</v>
      </c>
      <c r="B19" s="18" t="s">
        <v>14</v>
      </c>
      <c r="F19" s="87"/>
      <c r="G19" s="87"/>
    </row>
    <row r="20" spans="1:13" x14ac:dyDescent="0.25">
      <c r="B20" s="209" t="s">
        <v>89</v>
      </c>
      <c r="C20" s="210"/>
      <c r="D20" s="210"/>
      <c r="E20" s="210"/>
      <c r="F20" s="14">
        <f>+G6-G7</f>
        <v>1542051</v>
      </c>
      <c r="G20" s="14">
        <v>1542051</v>
      </c>
    </row>
    <row r="21" spans="1:13" x14ac:dyDescent="0.25">
      <c r="B21" s="94"/>
      <c r="C21" s="95"/>
      <c r="D21" s="95"/>
      <c r="E21" s="95"/>
      <c r="F21" s="14"/>
      <c r="G21" s="14"/>
    </row>
    <row r="22" spans="1:13" x14ac:dyDescent="0.25">
      <c r="A22" s="46" t="s">
        <v>94</v>
      </c>
      <c r="B22" s="96" t="s">
        <v>116</v>
      </c>
      <c r="C22" s="95"/>
      <c r="D22" s="95"/>
      <c r="E22" s="95"/>
      <c r="F22" s="14">
        <v>5462</v>
      </c>
      <c r="G22" s="14"/>
    </row>
    <row r="23" spans="1:13" x14ac:dyDescent="0.25">
      <c r="B23" s="49"/>
      <c r="C23" s="49"/>
      <c r="D23" s="49"/>
      <c r="J23" s="58" t="s">
        <v>90</v>
      </c>
      <c r="K23" s="88"/>
      <c r="L23" s="59" t="s">
        <v>91</v>
      </c>
      <c r="M23" s="89" t="s">
        <v>92</v>
      </c>
    </row>
    <row r="24" spans="1:13" x14ac:dyDescent="0.25">
      <c r="J24" s="90" t="s">
        <v>93</v>
      </c>
      <c r="K24" s="90"/>
      <c r="L24" s="90">
        <v>20</v>
      </c>
      <c r="M24" s="91">
        <f>1/L24</f>
        <v>0.05</v>
      </c>
    </row>
    <row r="25" spans="1:13" x14ac:dyDescent="0.25">
      <c r="A25" s="46" t="s">
        <v>94</v>
      </c>
      <c r="B25" s="46" t="s">
        <v>95</v>
      </c>
      <c r="J25" s="90" t="s">
        <v>96</v>
      </c>
      <c r="K25" s="90"/>
      <c r="L25" s="90">
        <v>50</v>
      </c>
      <c r="M25" s="92">
        <f>1/L25</f>
        <v>0.02</v>
      </c>
    </row>
    <row r="26" spans="1:13" x14ac:dyDescent="0.25">
      <c r="B26" s="49" t="s">
        <v>97</v>
      </c>
      <c r="C26" s="49"/>
      <c r="D26" s="49"/>
      <c r="E26" s="49"/>
      <c r="F26" s="14">
        <v>11585</v>
      </c>
      <c r="G26" s="14">
        <v>11585</v>
      </c>
      <c r="J26" s="90" t="s">
        <v>96</v>
      </c>
      <c r="K26" s="90"/>
      <c r="L26" s="90">
        <v>100</v>
      </c>
      <c r="M26" s="92">
        <f>1/L26</f>
        <v>0.01</v>
      </c>
    </row>
    <row r="27" spans="1:13" ht="16.5" thickBot="1" x14ac:dyDescent="0.3">
      <c r="B27" s="49" t="s">
        <v>98</v>
      </c>
      <c r="C27" s="49"/>
      <c r="D27" s="49"/>
      <c r="E27" s="49"/>
      <c r="F27" s="81">
        <v>13683</v>
      </c>
      <c r="G27" s="81">
        <v>9698</v>
      </c>
      <c r="J27" s="90" t="s">
        <v>96</v>
      </c>
      <c r="K27" s="90"/>
      <c r="L27" s="90">
        <v>200</v>
      </c>
      <c r="M27" s="92">
        <f>1/L27</f>
        <v>5.0000000000000001E-3</v>
      </c>
    </row>
    <row r="28" spans="1:13" ht="16.5" thickTop="1" x14ac:dyDescent="0.25">
      <c r="E28" s="85" t="s">
        <v>99</v>
      </c>
      <c r="F28" s="86">
        <f>SUM(F26:F27)</f>
        <v>25268</v>
      </c>
      <c r="G28" s="86">
        <f>SUM(G26:G27)</f>
        <v>21283</v>
      </c>
    </row>
    <row r="30" spans="1:13" x14ac:dyDescent="0.25">
      <c r="A30" s="46" t="s">
        <v>100</v>
      </c>
      <c r="B30" s="46" t="s">
        <v>101</v>
      </c>
      <c r="F30" s="87"/>
      <c r="G30" s="87"/>
    </row>
    <row r="31" spans="1:13" x14ac:dyDescent="0.25">
      <c r="B31" s="49" t="s">
        <v>102</v>
      </c>
      <c r="C31" s="49"/>
      <c r="D31" s="49"/>
      <c r="E31" s="49"/>
      <c r="F31" s="14">
        <v>0</v>
      </c>
      <c r="G31" s="14">
        <v>11675</v>
      </c>
    </row>
    <row r="32" spans="1:13" x14ac:dyDescent="0.25">
      <c r="B32" s="49" t="s">
        <v>103</v>
      </c>
      <c r="C32" s="49"/>
      <c r="D32" s="49"/>
      <c r="E32" s="49"/>
      <c r="F32" s="93"/>
      <c r="G32" s="93"/>
    </row>
    <row r="34" spans="1:7" x14ac:dyDescent="0.25">
      <c r="A34" s="46" t="s">
        <v>104</v>
      </c>
      <c r="B34" s="46" t="s">
        <v>105</v>
      </c>
      <c r="F34" s="87"/>
      <c r="G34" s="87"/>
    </row>
    <row r="35" spans="1:7" x14ac:dyDescent="0.25">
      <c r="B35" s="49" t="s">
        <v>106</v>
      </c>
      <c r="C35" s="49"/>
      <c r="D35" s="49"/>
      <c r="E35" s="49"/>
      <c r="F35" s="14">
        <v>-22201</v>
      </c>
      <c r="G35" s="14">
        <v>22201</v>
      </c>
    </row>
    <row r="36" spans="1:7" x14ac:dyDescent="0.25">
      <c r="B36" s="49" t="s">
        <v>107</v>
      </c>
      <c r="C36" s="49"/>
      <c r="D36" s="49"/>
      <c r="E36" s="49"/>
      <c r="F36" s="2"/>
    </row>
    <row r="37" spans="1:7" x14ac:dyDescent="0.25">
      <c r="B37" s="49"/>
      <c r="C37" s="49"/>
      <c r="D37" s="49"/>
      <c r="E37" s="49"/>
      <c r="F37" s="2"/>
    </row>
    <row r="38" spans="1:7" x14ac:dyDescent="0.25">
      <c r="A38" s="46" t="s">
        <v>108</v>
      </c>
      <c r="B38" s="46" t="s">
        <v>109</v>
      </c>
      <c r="F38" s="87"/>
      <c r="G38" s="87"/>
    </row>
    <row r="39" spans="1:7" x14ac:dyDescent="0.25">
      <c r="B39" s="49" t="s">
        <v>110</v>
      </c>
      <c r="F39" s="28">
        <v>0</v>
      </c>
      <c r="G39" s="28">
        <v>9884</v>
      </c>
    </row>
    <row r="40" spans="1:7" x14ac:dyDescent="0.25">
      <c r="B40" s="46"/>
      <c r="F40" s="87"/>
      <c r="G40" s="87"/>
    </row>
    <row r="41" spans="1:7" x14ac:dyDescent="0.25">
      <c r="A41" s="46" t="s">
        <v>111</v>
      </c>
      <c r="B41" s="46" t="s">
        <v>38</v>
      </c>
      <c r="F41" s="87"/>
      <c r="G41" s="87"/>
    </row>
    <row r="42" spans="1:7" x14ac:dyDescent="0.25">
      <c r="B42" s="49" t="s">
        <v>112</v>
      </c>
      <c r="C42" s="49"/>
      <c r="D42" s="49"/>
      <c r="E42" s="49"/>
      <c r="F42" s="14">
        <v>10080000</v>
      </c>
      <c r="G42" s="14">
        <v>10080000</v>
      </c>
    </row>
  </sheetData>
  <mergeCells count="3">
    <mergeCell ref="B3:G4"/>
    <mergeCell ref="O6:O7"/>
    <mergeCell ref="B20:E20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W27"/>
  <sheetViews>
    <sheetView workbookViewId="0">
      <selection activeCell="I1" sqref="I1:I1048576"/>
    </sheetView>
  </sheetViews>
  <sheetFormatPr defaultRowHeight="15" x14ac:dyDescent="0.25"/>
  <cols>
    <col min="3" max="3" width="10" customWidth="1"/>
    <col min="7" max="8" width="11.140625" bestFit="1" customWidth="1"/>
    <col min="9" max="9" width="11.5703125" hidden="1" customWidth="1"/>
    <col min="10" max="13" width="11.140625" hidden="1" customWidth="1"/>
    <col min="14" max="14" width="11" hidden="1" customWidth="1"/>
    <col min="15" max="15" width="9.140625" customWidth="1"/>
    <col min="18" max="18" width="8.85546875" customWidth="1"/>
  </cols>
  <sheetData>
    <row r="3" spans="1:23" x14ac:dyDescent="0.25">
      <c r="A3" t="s">
        <v>201</v>
      </c>
      <c r="B3" s="180" t="s">
        <v>217</v>
      </c>
    </row>
    <row r="5" spans="1:23" x14ac:dyDescent="0.25">
      <c r="B5" t="s">
        <v>202</v>
      </c>
      <c r="D5" s="19">
        <f>S18</f>
        <v>-60417.595000000001</v>
      </c>
      <c r="E5" s="19"/>
      <c r="F5" s="19"/>
    </row>
    <row r="7" spans="1:23" ht="15.75" x14ac:dyDescent="0.25">
      <c r="B7" s="46" t="s">
        <v>67</v>
      </c>
      <c r="M7" s="48"/>
    </row>
    <row r="8" spans="1:23" x14ac:dyDescent="0.25">
      <c r="B8" s="14" t="s">
        <v>68</v>
      </c>
      <c r="C8" s="49"/>
      <c r="D8" s="49"/>
      <c r="E8" s="49"/>
      <c r="F8" s="49"/>
      <c r="G8" s="14">
        <v>10078760</v>
      </c>
      <c r="H8" s="14">
        <v>10078760</v>
      </c>
      <c r="I8" s="14">
        <v>10078760</v>
      </c>
      <c r="J8" s="14">
        <v>10078760</v>
      </c>
      <c r="K8" s="14">
        <v>10078760</v>
      </c>
      <c r="L8" s="14">
        <v>10078760</v>
      </c>
      <c r="M8" s="14">
        <v>10078760</v>
      </c>
      <c r="N8" s="14">
        <v>10078760</v>
      </c>
      <c r="Q8" s="150"/>
      <c r="R8" s="150"/>
      <c r="S8" s="150"/>
      <c r="T8" s="150"/>
      <c r="U8" s="150"/>
      <c r="V8" s="212"/>
      <c r="W8" s="150"/>
    </row>
    <row r="9" spans="1:23" x14ac:dyDescent="0.25">
      <c r="B9" s="14" t="s">
        <v>71</v>
      </c>
      <c r="C9" s="54">
        <f>+N9/N8</f>
        <v>0.84699992856264061</v>
      </c>
      <c r="D9" s="49" t="s">
        <v>140</v>
      </c>
      <c r="E9" s="49"/>
      <c r="F9" s="49"/>
      <c r="G9" s="14">
        <v>8536709</v>
      </c>
      <c r="H9" s="14">
        <v>8536709</v>
      </c>
      <c r="I9" s="14">
        <v>8536709</v>
      </c>
      <c r="J9" s="14">
        <v>8536709</v>
      </c>
      <c r="K9" s="14">
        <v>8536709</v>
      </c>
      <c r="L9" s="14">
        <v>8536709</v>
      </c>
      <c r="M9" s="14">
        <v>8536709</v>
      </c>
      <c r="N9" s="14">
        <v>8536709</v>
      </c>
      <c r="Q9" s="150"/>
      <c r="R9" s="150"/>
      <c r="S9" s="150"/>
      <c r="T9" s="151"/>
      <c r="U9" s="151"/>
      <c r="V9" s="212"/>
      <c r="W9" s="150"/>
    </row>
    <row r="10" spans="1:23" x14ac:dyDescent="0.25">
      <c r="B10" s="14" t="s">
        <v>76</v>
      </c>
      <c r="C10" s="49"/>
      <c r="D10" s="49"/>
      <c r="E10" s="49"/>
      <c r="F10" s="49"/>
      <c r="G10" s="14">
        <v>60681</v>
      </c>
      <c r="H10" s="14">
        <v>60681</v>
      </c>
      <c r="I10" s="14">
        <v>60681</v>
      </c>
      <c r="J10" s="14">
        <v>60681</v>
      </c>
      <c r="K10" s="14">
        <v>60681</v>
      </c>
      <c r="L10" s="14">
        <v>60681</v>
      </c>
      <c r="M10" s="14">
        <v>60681</v>
      </c>
      <c r="N10" s="14">
        <v>60681</v>
      </c>
      <c r="O10" s="14"/>
      <c r="Q10" s="150"/>
      <c r="R10" s="150"/>
      <c r="S10" s="25"/>
      <c r="T10" s="25"/>
      <c r="U10" s="25"/>
      <c r="V10" s="150"/>
      <c r="W10" s="150"/>
    </row>
    <row r="11" spans="1:23" x14ac:dyDescent="0.25">
      <c r="B11" s="14" t="s">
        <v>121</v>
      </c>
      <c r="C11" s="49"/>
      <c r="D11" s="49"/>
      <c r="E11" s="49"/>
      <c r="F11" s="49"/>
      <c r="G11" s="14">
        <v>367500</v>
      </c>
      <c r="H11" s="14">
        <v>367500</v>
      </c>
      <c r="I11" s="14">
        <v>367500</v>
      </c>
      <c r="J11" s="14">
        <v>367500</v>
      </c>
      <c r="K11" s="14">
        <v>367500</v>
      </c>
      <c r="L11" s="14">
        <v>367500</v>
      </c>
      <c r="M11" s="14">
        <v>367500</v>
      </c>
      <c r="N11" s="14">
        <v>367500</v>
      </c>
      <c r="O11" s="64"/>
      <c r="Q11" s="150"/>
      <c r="R11" s="150"/>
      <c r="S11" s="150"/>
      <c r="T11" s="150"/>
      <c r="U11" s="150"/>
      <c r="V11" s="25"/>
      <c r="W11" s="150"/>
    </row>
    <row r="12" spans="1:23" x14ac:dyDescent="0.25">
      <c r="O12" s="14"/>
      <c r="Q12" s="150"/>
      <c r="R12" s="150"/>
      <c r="S12" s="150"/>
      <c r="T12" s="150"/>
      <c r="U12" s="150"/>
      <c r="V12" s="150"/>
      <c r="W12" s="150"/>
    </row>
    <row r="13" spans="1:23" x14ac:dyDescent="0.25">
      <c r="B13" s="14" t="s">
        <v>79</v>
      </c>
      <c r="C13" s="49"/>
      <c r="D13" s="49"/>
      <c r="E13" s="49"/>
      <c r="F13" s="49"/>
      <c r="G13" s="14">
        <v>2381670</v>
      </c>
      <c r="H13" s="14">
        <v>2381670</v>
      </c>
      <c r="I13" s="14">
        <v>2381670</v>
      </c>
      <c r="J13" s="14">
        <v>2295000</v>
      </c>
      <c r="K13" s="14">
        <v>4752000</v>
      </c>
      <c r="L13" s="14">
        <v>4752000</v>
      </c>
      <c r="M13" s="14">
        <v>4752000</v>
      </c>
      <c r="N13" s="14">
        <v>4752000</v>
      </c>
      <c r="O13" s="28"/>
    </row>
    <row r="14" spans="1:23" x14ac:dyDescent="0.25">
      <c r="B14" s="70" t="s">
        <v>114</v>
      </c>
      <c r="C14" s="49"/>
      <c r="D14" s="49"/>
      <c r="E14" s="49"/>
      <c r="F14" s="49"/>
      <c r="G14" s="14">
        <v>4027000</v>
      </c>
      <c r="H14" s="14">
        <v>4027000</v>
      </c>
      <c r="I14" s="14">
        <v>4027000</v>
      </c>
      <c r="J14" s="14">
        <v>4027000</v>
      </c>
      <c r="K14" s="14">
        <v>4027000</v>
      </c>
      <c r="L14" s="14">
        <v>4027000</v>
      </c>
      <c r="M14" s="14">
        <v>4027000</v>
      </c>
      <c r="N14" s="14">
        <v>4027000</v>
      </c>
      <c r="O14" s="14"/>
      <c r="P14" s="2"/>
    </row>
    <row r="15" spans="1:23" x14ac:dyDescent="0.25">
      <c r="B15" s="71"/>
      <c r="M15" s="2"/>
      <c r="N15" s="2"/>
      <c r="O15" s="14"/>
      <c r="Q15" s="73"/>
      <c r="R15" s="74"/>
      <c r="S15" s="74"/>
      <c r="T15" s="74"/>
      <c r="U15" s="75"/>
    </row>
    <row r="16" spans="1:23" ht="15.75" x14ac:dyDescent="0.25">
      <c r="B16" s="18" t="s">
        <v>49</v>
      </c>
      <c r="G16" s="103" t="s">
        <v>212</v>
      </c>
      <c r="H16" s="103" t="s">
        <v>212</v>
      </c>
      <c r="I16" s="103" t="s">
        <v>184</v>
      </c>
      <c r="J16" s="103" t="s">
        <v>181</v>
      </c>
      <c r="K16" s="103" t="s">
        <v>158</v>
      </c>
      <c r="L16" s="103" t="s">
        <v>146</v>
      </c>
      <c r="M16" s="103" t="s">
        <v>147</v>
      </c>
      <c r="N16" s="72" t="s">
        <v>123</v>
      </c>
      <c r="O16" s="14"/>
      <c r="Q16" s="76" t="s">
        <v>81</v>
      </c>
      <c r="R16" s="77"/>
      <c r="S16" s="78"/>
    </row>
    <row r="17" spans="2:21" x14ac:dyDescent="0.25">
      <c r="B17" s="14" t="s">
        <v>71</v>
      </c>
      <c r="C17" s="49"/>
      <c r="D17" s="49"/>
      <c r="E17" s="49"/>
      <c r="F17" s="49"/>
      <c r="G17" s="14">
        <v>8964890</v>
      </c>
      <c r="H17" s="14">
        <v>8964890</v>
      </c>
      <c r="I17" s="14">
        <v>8964890</v>
      </c>
      <c r="J17" s="14">
        <v>8964890</v>
      </c>
      <c r="K17" s="14">
        <v>8964890</v>
      </c>
      <c r="L17" s="14">
        <v>8964890</v>
      </c>
      <c r="M17" s="14">
        <v>8964890</v>
      </c>
      <c r="N17" s="14">
        <v>8964890</v>
      </c>
      <c r="O17" s="14"/>
      <c r="Q17" s="79"/>
      <c r="R17" s="80"/>
      <c r="S17" s="80" t="s">
        <v>85</v>
      </c>
    </row>
    <row r="18" spans="2:21" x14ac:dyDescent="0.25">
      <c r="B18" s="14" t="s">
        <v>82</v>
      </c>
      <c r="C18" s="49"/>
      <c r="D18" s="49"/>
      <c r="E18" s="49"/>
      <c r="F18" s="49"/>
      <c r="G18" s="14">
        <f>H18+H19</f>
        <v>-764281.56999999983</v>
      </c>
      <c r="H18" s="14">
        <f>I18+I19</f>
        <v>-703863.97499999986</v>
      </c>
      <c r="I18" s="14">
        <f>J18+J19</f>
        <v>-643446.37999999989</v>
      </c>
      <c r="J18" s="14">
        <f>K18+K19</f>
        <v>-583028.78499999992</v>
      </c>
      <c r="K18" s="14">
        <f>L18+L19</f>
        <v>-522611.18999999994</v>
      </c>
      <c r="L18" s="14">
        <f>M18+M19-1</f>
        <v>-462193.59499999997</v>
      </c>
      <c r="M18" s="14">
        <f>N18+N19</f>
        <v>-401775</v>
      </c>
      <c r="N18" s="14">
        <v>-353607</v>
      </c>
      <c r="Q18" s="83"/>
      <c r="R18" s="84"/>
      <c r="S18" s="84">
        <f>-(T21*I10+T25*I9+I11*T22)</f>
        <v>-60417.595000000001</v>
      </c>
    </row>
    <row r="19" spans="2:21" ht="15.75" thickBot="1" x14ac:dyDescent="0.3">
      <c r="B19" s="14" t="s">
        <v>86</v>
      </c>
      <c r="C19" s="49"/>
      <c r="D19" s="49"/>
      <c r="E19" s="49"/>
      <c r="F19" s="49"/>
      <c r="G19" s="81">
        <f>S18</f>
        <v>-60417.595000000001</v>
      </c>
      <c r="H19" s="81">
        <f>S18</f>
        <v>-60417.595000000001</v>
      </c>
      <c r="I19" s="81">
        <f>+S18</f>
        <v>-60417.595000000001</v>
      </c>
      <c r="J19" s="81">
        <f>+S18</f>
        <v>-60417.595000000001</v>
      </c>
      <c r="K19" s="81">
        <f>+S18</f>
        <v>-60417.595000000001</v>
      </c>
      <c r="L19" s="81">
        <f>+S18</f>
        <v>-60417.595000000001</v>
      </c>
      <c r="M19" s="81">
        <f>+S18</f>
        <v>-60417.595000000001</v>
      </c>
      <c r="N19" s="81">
        <v>-48168</v>
      </c>
    </row>
    <row r="20" spans="2:21" ht="15.75" thickTop="1" x14ac:dyDescent="0.25">
      <c r="B20" s="2"/>
      <c r="F20" s="85" t="s">
        <v>87</v>
      </c>
      <c r="G20" s="86">
        <f t="shared" ref="G20:H20" si="0">SUM(G17:G19)</f>
        <v>8140190.835</v>
      </c>
      <c r="H20" s="86">
        <f t="shared" si="0"/>
        <v>8200608.4300000006</v>
      </c>
      <c r="I20" s="86">
        <f t="shared" ref="I20:N20" si="1">SUM(I17:I19)</f>
        <v>8261026.0250000004</v>
      </c>
      <c r="J20" s="86">
        <f t="shared" si="1"/>
        <v>8321443.6200000001</v>
      </c>
      <c r="K20" s="86">
        <f t="shared" si="1"/>
        <v>8381861.2150000008</v>
      </c>
      <c r="L20" s="86">
        <f t="shared" si="1"/>
        <v>8442278.8099999987</v>
      </c>
      <c r="M20" s="86">
        <f t="shared" si="1"/>
        <v>8502697.4049999993</v>
      </c>
      <c r="N20" s="86">
        <f t="shared" si="1"/>
        <v>8563115</v>
      </c>
      <c r="O20" s="47"/>
      <c r="Q20" s="58" t="s">
        <v>90</v>
      </c>
      <c r="R20" s="88"/>
      <c r="S20" s="59" t="s">
        <v>91</v>
      </c>
      <c r="T20" s="89" t="s">
        <v>92</v>
      </c>
    </row>
    <row r="21" spans="2:21" x14ac:dyDescent="0.25">
      <c r="B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Q21" s="90" t="s">
        <v>93</v>
      </c>
      <c r="R21" s="90"/>
      <c r="S21" s="90">
        <v>20</v>
      </c>
      <c r="T21" s="92">
        <f>1/S21</f>
        <v>0.05</v>
      </c>
    </row>
    <row r="22" spans="2:21" ht="15.75" x14ac:dyDescent="0.25">
      <c r="B22" s="18"/>
      <c r="M22" s="87"/>
      <c r="N22" s="87"/>
      <c r="Q22" s="97" t="s">
        <v>128</v>
      </c>
      <c r="R22" s="98"/>
      <c r="S22" s="99">
        <v>25</v>
      </c>
      <c r="T22" s="92">
        <v>0.04</v>
      </c>
      <c r="U22" t="s">
        <v>129</v>
      </c>
    </row>
    <row r="23" spans="2:21" x14ac:dyDescent="0.25">
      <c r="B23" s="209"/>
      <c r="C23" s="210"/>
      <c r="D23" s="210"/>
      <c r="E23" s="210"/>
      <c r="F23" s="210"/>
      <c r="G23" s="210"/>
      <c r="H23" s="210"/>
      <c r="I23" s="14"/>
      <c r="J23" s="14">
        <f>+K8-K9</f>
        <v>1542051</v>
      </c>
      <c r="K23" s="14">
        <f>+L8-L9</f>
        <v>1542051</v>
      </c>
      <c r="L23" s="14">
        <f>+M8-M9</f>
        <v>1542051</v>
      </c>
      <c r="M23" s="14">
        <f>+N8-N9</f>
        <v>1542051</v>
      </c>
      <c r="N23" s="14">
        <v>1542051</v>
      </c>
      <c r="Q23" s="90" t="s">
        <v>96</v>
      </c>
      <c r="R23" s="90"/>
      <c r="S23" s="90">
        <v>50</v>
      </c>
      <c r="T23" s="92">
        <f>1/S23</f>
        <v>0.02</v>
      </c>
    </row>
    <row r="24" spans="2:21" x14ac:dyDescent="0.25">
      <c r="B24" s="94"/>
      <c r="C24" s="95"/>
      <c r="D24" s="95"/>
      <c r="E24" s="95"/>
      <c r="F24" s="95"/>
      <c r="G24" s="95"/>
      <c r="H24" s="95"/>
      <c r="I24" s="14"/>
      <c r="J24" s="14"/>
      <c r="K24" s="14"/>
      <c r="L24" s="14"/>
      <c r="M24" s="14"/>
      <c r="N24" s="14"/>
      <c r="Q24" s="90" t="s">
        <v>96</v>
      </c>
      <c r="R24" s="90"/>
      <c r="S24" s="90">
        <v>100</v>
      </c>
      <c r="T24" s="92">
        <f>1/S24</f>
        <v>0.01</v>
      </c>
    </row>
    <row r="25" spans="2:21" ht="15.75" x14ac:dyDescent="0.25">
      <c r="B25" s="18"/>
      <c r="C25" s="95"/>
      <c r="D25" s="95"/>
      <c r="E25" s="95"/>
      <c r="F25" s="95"/>
      <c r="G25" s="95"/>
      <c r="H25" s="95"/>
      <c r="I25" s="148"/>
      <c r="J25" s="14"/>
      <c r="K25" s="14"/>
      <c r="L25" s="14"/>
      <c r="M25" s="14"/>
      <c r="N25" s="14"/>
      <c r="Q25" s="90" t="s">
        <v>96</v>
      </c>
      <c r="R25" s="90"/>
      <c r="S25" s="90">
        <v>200</v>
      </c>
      <c r="T25" s="92">
        <f>1/S25</f>
        <v>5.0000000000000001E-3</v>
      </c>
    </row>
    <row r="26" spans="2:21" x14ac:dyDescent="0.25">
      <c r="B26" s="94"/>
      <c r="C26" s="95"/>
      <c r="D26" s="95"/>
      <c r="E26" s="95"/>
      <c r="F26" s="95"/>
      <c r="G26" s="95"/>
      <c r="H26" s="95"/>
      <c r="I26" s="14"/>
      <c r="J26" s="14"/>
      <c r="K26" s="14"/>
      <c r="L26" s="14"/>
      <c r="M26" s="14"/>
      <c r="N26" s="14"/>
      <c r="T26" s="100"/>
    </row>
    <row r="27" spans="2:21" x14ac:dyDescent="0.25">
      <c r="B27" s="14"/>
      <c r="C27" s="95"/>
      <c r="D27" s="95"/>
      <c r="E27" s="95"/>
      <c r="F27" s="95"/>
      <c r="G27" s="95"/>
      <c r="H27" s="95"/>
      <c r="I27" s="14"/>
      <c r="J27" s="14"/>
      <c r="K27" s="14"/>
      <c r="L27" s="14"/>
      <c r="M27" s="14"/>
      <c r="N27" s="14"/>
    </row>
  </sheetData>
  <mergeCells count="2">
    <mergeCell ref="V8:V9"/>
    <mergeCell ref="B23:H23"/>
  </mergeCells>
  <phoneticPr fontId="26" type="noConversion"/>
  <pageMargins left="0.7" right="0.7" top="0.75" bottom="0.75" header="0.3" footer="0.3"/>
  <pageSetup paperSize="9"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3:M14"/>
  <sheetViews>
    <sheetView workbookViewId="0">
      <selection activeCell="M1" sqref="M1"/>
    </sheetView>
  </sheetViews>
  <sheetFormatPr defaultRowHeight="15" x14ac:dyDescent="0.25"/>
  <cols>
    <col min="3" max="3" width="10.7109375" customWidth="1"/>
    <col min="4" max="4" width="13.7109375" bestFit="1" customWidth="1"/>
    <col min="6" max="6" width="11.5703125" customWidth="1"/>
    <col min="7" max="7" width="8.85546875" customWidth="1"/>
    <col min="8" max="8" width="13.7109375" customWidth="1"/>
    <col min="9" max="9" width="16.140625" bestFit="1" customWidth="1"/>
    <col min="10" max="10" width="13.7109375" customWidth="1"/>
    <col min="11" max="11" width="13" customWidth="1"/>
    <col min="12" max="14" width="8.85546875" customWidth="1"/>
    <col min="17" max="17" width="8.85546875" customWidth="1"/>
  </cols>
  <sheetData>
    <row r="3" spans="1:13" x14ac:dyDescent="0.25">
      <c r="A3" t="s">
        <v>201</v>
      </c>
      <c r="B3" s="180" t="s">
        <v>239</v>
      </c>
    </row>
    <row r="5" spans="1:13" x14ac:dyDescent="0.25">
      <c r="B5" t="s">
        <v>203</v>
      </c>
      <c r="D5" s="156">
        <f>-H14</f>
        <v>-13842.074000000001</v>
      </c>
    </row>
    <row r="7" spans="1:13" x14ac:dyDescent="0.25">
      <c r="B7" s="8" t="s">
        <v>205</v>
      </c>
      <c r="K7" s="14"/>
      <c r="L7" s="14"/>
      <c r="M7" s="14"/>
    </row>
    <row r="8" spans="1:13" ht="30" x14ac:dyDescent="0.25">
      <c r="B8" s="58" t="s">
        <v>90</v>
      </c>
      <c r="C8" s="88"/>
      <c r="D8" s="88" t="s">
        <v>204</v>
      </c>
      <c r="E8" s="152" t="s">
        <v>191</v>
      </c>
      <c r="F8" s="152" t="s">
        <v>192</v>
      </c>
      <c r="G8" s="153" t="s">
        <v>92</v>
      </c>
      <c r="H8" s="155" t="s">
        <v>86</v>
      </c>
      <c r="I8" s="155" t="s">
        <v>220</v>
      </c>
      <c r="J8" s="155" t="s">
        <v>219</v>
      </c>
      <c r="K8" s="155" t="s">
        <v>218</v>
      </c>
    </row>
    <row r="9" spans="1:13" x14ac:dyDescent="0.25">
      <c r="B9" s="142" t="s">
        <v>193</v>
      </c>
      <c r="C9" s="142"/>
      <c r="D9" s="185">
        <v>49375</v>
      </c>
      <c r="E9" s="140">
        <v>2020</v>
      </c>
      <c r="F9" s="140">
        <v>10</v>
      </c>
      <c r="G9" s="141">
        <f>1/F9</f>
        <v>0.1</v>
      </c>
      <c r="H9" s="154">
        <f>D9*G9</f>
        <v>4937.5</v>
      </c>
      <c r="I9" s="154">
        <f>4937.5+H9+H9</f>
        <v>14812.5</v>
      </c>
      <c r="J9" s="154">
        <f>D9-4937.5</f>
        <v>44437.5</v>
      </c>
      <c r="K9" s="154">
        <f>D9-I9</f>
        <v>34562.5</v>
      </c>
    </row>
    <row r="10" spans="1:13" x14ac:dyDescent="0.25">
      <c r="B10" s="97" t="s">
        <v>213</v>
      </c>
      <c r="C10" s="139"/>
      <c r="D10" s="185">
        <v>44522.87</v>
      </c>
      <c r="E10" s="140">
        <v>2021</v>
      </c>
      <c r="F10" s="140">
        <v>5</v>
      </c>
      <c r="G10" s="141">
        <f>1/F10</f>
        <v>0.2</v>
      </c>
      <c r="H10" s="154">
        <f>D10*G10</f>
        <v>8904.5740000000005</v>
      </c>
      <c r="I10" s="154">
        <f>H10+H10</f>
        <v>17809.148000000001</v>
      </c>
      <c r="J10" s="154"/>
      <c r="K10" s="154">
        <f>D10-I10</f>
        <v>26713.722000000002</v>
      </c>
    </row>
    <row r="11" spans="1:13" x14ac:dyDescent="0.25">
      <c r="B11" s="97" t="s">
        <v>214</v>
      </c>
      <c r="C11" s="139"/>
      <c r="D11" s="186">
        <v>38734</v>
      </c>
      <c r="E11" s="90"/>
      <c r="F11" s="90"/>
      <c r="G11" s="92"/>
      <c r="H11" s="92"/>
      <c r="I11" s="184">
        <v>38734</v>
      </c>
      <c r="J11" s="90">
        <v>0</v>
      </c>
      <c r="K11" s="154">
        <f t="shared" ref="K11" si="0">D11-I11</f>
        <v>0</v>
      </c>
    </row>
    <row r="12" spans="1:13" x14ac:dyDescent="0.25">
      <c r="B12" s="97"/>
      <c r="C12" s="139"/>
      <c r="D12" s="187"/>
      <c r="E12" s="90"/>
      <c r="F12" s="90"/>
      <c r="G12" s="92"/>
      <c r="H12" s="92"/>
      <c r="I12" s="92"/>
      <c r="J12" s="92"/>
      <c r="K12" s="92"/>
    </row>
    <row r="13" spans="1:13" x14ac:dyDescent="0.25">
      <c r="B13" s="143"/>
      <c r="C13" s="138"/>
      <c r="D13" s="188"/>
      <c r="E13" s="90"/>
      <c r="F13" s="90"/>
      <c r="G13" s="92"/>
      <c r="H13" s="92"/>
      <c r="I13" s="92"/>
      <c r="J13" s="92"/>
      <c r="K13" s="92"/>
    </row>
    <row r="14" spans="1:13" x14ac:dyDescent="0.25">
      <c r="B14" t="s">
        <v>99</v>
      </c>
      <c r="D14" s="189">
        <f>SUM(D9:D13)</f>
        <v>132631.87</v>
      </c>
      <c r="H14" s="204">
        <f>SUM(H9:H13)</f>
        <v>13842.074000000001</v>
      </c>
      <c r="I14" s="175">
        <f>SUM(I9:I13)</f>
        <v>71355.648000000001</v>
      </c>
      <c r="J14" s="175">
        <f>SUM(J9:J13)</f>
        <v>44437.5</v>
      </c>
      <c r="K14" s="175">
        <f>SUM(K9:K13)</f>
        <v>61276.222000000002</v>
      </c>
    </row>
  </sheetData>
  <pageMargins left="0.7" right="0.7" top="0.75" bottom="0.75" header="0.3" footer="0.3"/>
  <pageSetup paperSize="9"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10"/>
  <sheetViews>
    <sheetView workbookViewId="0">
      <selection activeCell="B17" sqref="B17"/>
    </sheetView>
  </sheetViews>
  <sheetFormatPr defaultRowHeight="15" x14ac:dyDescent="0.25"/>
  <cols>
    <col min="2" max="2" width="45.7109375" bestFit="1" customWidth="1"/>
    <col min="3" max="3" width="10.7109375" customWidth="1"/>
    <col min="4" max="4" width="11.42578125" bestFit="1" customWidth="1"/>
    <col min="6" max="6" width="9.85546875" bestFit="1" customWidth="1"/>
    <col min="7" max="7" width="8.85546875" customWidth="1"/>
    <col min="8" max="8" width="11.85546875" customWidth="1"/>
    <col min="9" max="12" width="8.85546875" customWidth="1"/>
    <col min="15" max="15" width="8.85546875" customWidth="1"/>
  </cols>
  <sheetData>
    <row r="1" spans="1:4" x14ac:dyDescent="0.25">
      <c r="A1" t="s">
        <v>208</v>
      </c>
      <c r="B1" s="157">
        <v>44926</v>
      </c>
    </row>
    <row r="3" spans="1:4" x14ac:dyDescent="0.25">
      <c r="A3" t="s">
        <v>201</v>
      </c>
      <c r="B3" s="180" t="s">
        <v>217</v>
      </c>
    </row>
    <row r="5" spans="1:4" x14ac:dyDescent="0.25">
      <c r="B5" t="s">
        <v>206</v>
      </c>
      <c r="C5" s="190" t="s">
        <v>222</v>
      </c>
      <c r="D5" s="156"/>
    </row>
    <row r="8" spans="1:4" x14ac:dyDescent="0.25">
      <c r="A8" t="s">
        <v>201</v>
      </c>
      <c r="B8" s="180" t="s">
        <v>221</v>
      </c>
    </row>
    <row r="10" spans="1:4" x14ac:dyDescent="0.25">
      <c r="B10" t="s">
        <v>207</v>
      </c>
      <c r="C10" s="190" t="s">
        <v>234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8"/>
  <sheetViews>
    <sheetView workbookViewId="0">
      <selection activeCell="F32" sqref="F32"/>
    </sheetView>
  </sheetViews>
  <sheetFormatPr defaultRowHeight="15.75" x14ac:dyDescent="0.25"/>
  <cols>
    <col min="1" max="1" width="7.42578125" style="46" customWidth="1"/>
    <col min="2" max="2" width="26.28515625" customWidth="1"/>
    <col min="3" max="3" width="6.7109375" customWidth="1"/>
    <col min="4" max="4" width="8.5703125" customWidth="1"/>
    <col min="5" max="5" width="10.7109375" customWidth="1"/>
    <col min="6" max="7" width="10.7109375" style="165" customWidth="1"/>
    <col min="8" max="11" width="10.7109375" customWidth="1"/>
    <col min="12" max="13" width="13" hidden="1" customWidth="1"/>
    <col min="14" max="14" width="6.5703125" customWidth="1"/>
    <col min="16" max="16" width="9.28515625" customWidth="1"/>
    <col min="17" max="17" width="9.140625" customWidth="1"/>
    <col min="18" max="18" width="11" customWidth="1"/>
    <col min="19" max="19" width="10.7109375" bestFit="1" customWidth="1"/>
    <col min="20" max="20" width="9.5703125" bestFit="1" customWidth="1"/>
    <col min="22" max="22" width="13.28515625" customWidth="1"/>
    <col min="23" max="28" width="0" hidden="1" customWidth="1"/>
  </cols>
  <sheetData>
    <row r="1" spans="1:27" ht="21" x14ac:dyDescent="0.35">
      <c r="A1" s="45" t="s">
        <v>233</v>
      </c>
    </row>
    <row r="2" spans="1:27" x14ac:dyDescent="0.25">
      <c r="A2" s="46" t="s">
        <v>63</v>
      </c>
      <c r="B2" s="18" t="s">
        <v>64</v>
      </c>
      <c r="F2" s="202" t="s">
        <v>225</v>
      </c>
      <c r="G2" s="202" t="s">
        <v>212</v>
      </c>
      <c r="H2" s="103" t="s">
        <v>184</v>
      </c>
      <c r="I2" s="103" t="s">
        <v>181</v>
      </c>
      <c r="J2" s="103" t="s">
        <v>158</v>
      </c>
      <c r="K2" s="103" t="s">
        <v>146</v>
      </c>
    </row>
    <row r="3" spans="1:27" x14ac:dyDescent="0.25">
      <c r="B3" s="205" t="s">
        <v>65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47"/>
    </row>
    <row r="4" spans="1:27" x14ac:dyDescent="0.25"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27" ht="16.5" thickBot="1" x14ac:dyDescent="0.3">
      <c r="A5" s="46" t="s">
        <v>66</v>
      </c>
      <c r="B5" s="46" t="s">
        <v>67</v>
      </c>
      <c r="L5" s="48"/>
    </row>
    <row r="6" spans="1:27" x14ac:dyDescent="0.25">
      <c r="B6" s="14" t="s">
        <v>68</v>
      </c>
      <c r="C6" s="49"/>
      <c r="D6" s="49"/>
      <c r="E6" s="49"/>
      <c r="F6" s="70">
        <v>10078760</v>
      </c>
      <c r="G6" s="70">
        <v>10078760</v>
      </c>
      <c r="H6" s="14">
        <v>10078760</v>
      </c>
      <c r="I6" s="14">
        <v>10078760</v>
      </c>
      <c r="J6" s="14">
        <v>10078760</v>
      </c>
      <c r="K6" s="14">
        <v>10078760</v>
      </c>
      <c r="L6" s="14">
        <v>10078760</v>
      </c>
      <c r="M6" s="14">
        <v>10078760</v>
      </c>
      <c r="P6" s="50" t="s">
        <v>62</v>
      </c>
      <c r="Q6" s="51"/>
      <c r="R6" s="52" t="s">
        <v>69</v>
      </c>
      <c r="S6" s="53"/>
      <c r="T6" s="53"/>
      <c r="U6" s="207" t="s">
        <v>70</v>
      </c>
      <c r="W6" s="73" t="s">
        <v>80</v>
      </c>
      <c r="X6" s="74"/>
      <c r="Y6" s="74"/>
      <c r="Z6" s="74"/>
      <c r="AA6" s="75"/>
    </row>
    <row r="7" spans="1:27" x14ac:dyDescent="0.25">
      <c r="B7" s="14" t="s">
        <v>71</v>
      </c>
      <c r="C7" s="54">
        <f>+M7/M6</f>
        <v>0.84699992856264061</v>
      </c>
      <c r="D7" s="49" t="s">
        <v>140</v>
      </c>
      <c r="E7" s="55"/>
      <c r="F7" s="70">
        <v>8536709</v>
      </c>
      <c r="G7" s="70">
        <v>8536709</v>
      </c>
      <c r="H7" s="14">
        <v>8536709</v>
      </c>
      <c r="I7" s="14">
        <v>8536709</v>
      </c>
      <c r="J7" s="14">
        <v>8536709</v>
      </c>
      <c r="K7" s="14">
        <v>8536709</v>
      </c>
      <c r="L7" s="14">
        <v>8536709</v>
      </c>
      <c r="M7" s="14">
        <v>8536709</v>
      </c>
      <c r="P7" s="56"/>
      <c r="Q7" s="57"/>
      <c r="R7" s="58" t="s">
        <v>73</v>
      </c>
      <c r="S7" s="59" t="s">
        <v>74</v>
      </c>
      <c r="T7" s="59" t="s">
        <v>75</v>
      </c>
      <c r="U7" s="208"/>
      <c r="W7" s="76" t="s">
        <v>81</v>
      </c>
      <c r="X7" s="77"/>
      <c r="Y7" s="78"/>
    </row>
    <row r="8" spans="1:27" x14ac:dyDescent="0.25">
      <c r="B8" s="14" t="s">
        <v>76</v>
      </c>
      <c r="C8" s="49"/>
      <c r="D8" s="49"/>
      <c r="E8" s="49"/>
      <c r="F8" s="70">
        <v>60681</v>
      </c>
      <c r="G8" s="70">
        <v>60681</v>
      </c>
      <c r="H8" s="14">
        <v>60681</v>
      </c>
      <c r="I8" s="14">
        <v>60681</v>
      </c>
      <c r="J8" s="14">
        <v>60681</v>
      </c>
      <c r="K8" s="14">
        <v>60681</v>
      </c>
      <c r="L8" s="14">
        <v>60681</v>
      </c>
      <c r="M8" s="14">
        <v>60681</v>
      </c>
      <c r="N8" s="14"/>
      <c r="P8" s="60" t="s">
        <v>77</v>
      </c>
      <c r="Q8" s="61"/>
      <c r="R8" s="62">
        <v>5</v>
      </c>
      <c r="S8" s="62">
        <v>403334</v>
      </c>
      <c r="T8" s="62">
        <f>+R8*S8</f>
        <v>2016670</v>
      </c>
      <c r="U8" s="63"/>
      <c r="W8" s="79" t="s">
        <v>83</v>
      </c>
      <c r="X8" s="80" t="s">
        <v>84</v>
      </c>
      <c r="Y8" s="80" t="s">
        <v>85</v>
      </c>
    </row>
    <row r="9" spans="1:27" ht="16.5" thickBot="1" x14ac:dyDescent="0.3">
      <c r="B9" s="14" t="s">
        <v>121</v>
      </c>
      <c r="C9" s="49"/>
      <c r="D9" s="49"/>
      <c r="E9" s="49"/>
      <c r="F9" s="70">
        <v>367500</v>
      </c>
      <c r="G9" s="70">
        <v>367500</v>
      </c>
      <c r="H9" s="14">
        <v>367500</v>
      </c>
      <c r="I9" s="14">
        <v>367500</v>
      </c>
      <c r="J9" s="14">
        <v>367500</v>
      </c>
      <c r="K9" s="14">
        <v>367500</v>
      </c>
      <c r="L9" s="14">
        <v>367500</v>
      </c>
      <c r="M9" s="14">
        <v>367500</v>
      </c>
      <c r="N9" s="64"/>
      <c r="P9" s="65" t="s">
        <v>78</v>
      </c>
      <c r="Q9" s="66"/>
      <c r="R9" s="67">
        <v>5</v>
      </c>
      <c r="S9" s="67">
        <v>605</v>
      </c>
      <c r="T9" s="68">
        <f>+S9*R9</f>
        <v>3025</v>
      </c>
      <c r="U9" s="69">
        <f>+M11*0.0015</f>
        <v>7128</v>
      </c>
      <c r="W9" s="83">
        <f>-(Z17*M8+Z18*M7)</f>
        <v>-173768.22999999998</v>
      </c>
      <c r="X9" s="84">
        <f>-(Z17*M8+Z19*M7)</f>
        <v>-88401.14</v>
      </c>
      <c r="Y9" s="84">
        <f>-(Z17*M8+Z20*M7)</f>
        <v>-45717.595000000001</v>
      </c>
    </row>
    <row r="10" spans="1:27" x14ac:dyDescent="0.25">
      <c r="N10" s="14"/>
    </row>
    <row r="11" spans="1:27" x14ac:dyDescent="0.25">
      <c r="B11" s="14" t="s">
        <v>79</v>
      </c>
      <c r="C11" s="49"/>
      <c r="D11" s="49"/>
      <c r="E11" s="49"/>
      <c r="F11" s="70">
        <v>2431670</v>
      </c>
      <c r="G11" s="70">
        <v>2431670</v>
      </c>
      <c r="H11" s="14">
        <v>2381670</v>
      </c>
      <c r="I11" s="14">
        <v>2295000</v>
      </c>
      <c r="J11" s="14">
        <v>4752000</v>
      </c>
      <c r="K11" s="14">
        <v>4752000</v>
      </c>
      <c r="L11" s="14">
        <v>4752000</v>
      </c>
      <c r="M11" s="14">
        <v>4752000</v>
      </c>
      <c r="N11" s="28"/>
    </row>
    <row r="12" spans="1:27" hidden="1" x14ac:dyDescent="0.25">
      <c r="B12" s="70" t="s">
        <v>114</v>
      </c>
      <c r="C12" s="49"/>
      <c r="D12" s="49"/>
      <c r="E12" s="49"/>
      <c r="F12" s="64">
        <v>4027000</v>
      </c>
      <c r="G12" s="64">
        <v>4027000</v>
      </c>
      <c r="H12" s="14">
        <v>4027000</v>
      </c>
      <c r="I12" s="14">
        <v>4027000</v>
      </c>
      <c r="J12" s="14">
        <v>4027000</v>
      </c>
      <c r="K12" s="14">
        <v>4027000</v>
      </c>
      <c r="L12" s="14">
        <v>4027000</v>
      </c>
      <c r="M12" s="14">
        <v>4027000</v>
      </c>
      <c r="N12" s="14"/>
      <c r="O12" s="2"/>
    </row>
    <row r="13" spans="1:27" x14ac:dyDescent="0.25">
      <c r="B13" s="71"/>
      <c r="L13" s="2"/>
      <c r="M13" s="2"/>
      <c r="N13" s="14"/>
      <c r="P13" s="73" t="s">
        <v>80</v>
      </c>
      <c r="Q13" s="74"/>
      <c r="R13" s="74"/>
      <c r="S13" s="74"/>
      <c r="T13" s="75"/>
    </row>
    <row r="14" spans="1:27" x14ac:dyDescent="0.25">
      <c r="B14" s="18" t="s">
        <v>49</v>
      </c>
      <c r="L14" s="103" t="s">
        <v>147</v>
      </c>
      <c r="M14" s="72" t="s">
        <v>123</v>
      </c>
      <c r="N14" s="14"/>
      <c r="P14" s="76" t="s">
        <v>81</v>
      </c>
      <c r="Q14" s="77"/>
      <c r="R14" s="78"/>
    </row>
    <row r="15" spans="1:27" x14ac:dyDescent="0.25">
      <c r="B15" s="14" t="s">
        <v>71</v>
      </c>
      <c r="C15" s="49"/>
      <c r="D15" s="49"/>
      <c r="E15" s="49"/>
      <c r="F15" s="70">
        <v>8964890</v>
      </c>
      <c r="G15" s="70">
        <v>8964890</v>
      </c>
      <c r="H15" s="14">
        <v>8964890</v>
      </c>
      <c r="I15" s="14">
        <v>8964890</v>
      </c>
      <c r="J15" s="14">
        <v>8964890</v>
      </c>
      <c r="K15" s="14">
        <v>8964890</v>
      </c>
      <c r="L15" s="14">
        <v>8964890</v>
      </c>
      <c r="M15" s="14">
        <v>8964890</v>
      </c>
      <c r="N15" s="14"/>
      <c r="P15" s="79" t="s">
        <v>83</v>
      </c>
      <c r="Q15" s="80" t="s">
        <v>84</v>
      </c>
      <c r="R15" s="80" t="s">
        <v>85</v>
      </c>
    </row>
    <row r="16" spans="1:27" x14ac:dyDescent="0.25">
      <c r="B16" s="14" t="s">
        <v>82</v>
      </c>
      <c r="C16" s="49"/>
      <c r="D16" s="49"/>
      <c r="E16" s="49"/>
      <c r="F16" s="70">
        <f>G16+G17-2</f>
        <v>-764283.56999999983</v>
      </c>
      <c r="G16" s="70">
        <f>H16+H17</f>
        <v>-703863.97499999986</v>
      </c>
      <c r="H16" s="14">
        <f>I16+I17</f>
        <v>-643446.37999999989</v>
      </c>
      <c r="I16" s="14">
        <f>J16+J17</f>
        <v>-583028.78499999992</v>
      </c>
      <c r="J16" s="14">
        <f>K16+K17</f>
        <v>-522611.18999999994</v>
      </c>
      <c r="K16" s="14">
        <f>L16+L17-1</f>
        <v>-462193.59499999997</v>
      </c>
      <c r="L16" s="14">
        <f>M16+M17</f>
        <v>-401775</v>
      </c>
      <c r="M16" s="14">
        <v>-353607</v>
      </c>
      <c r="P16" s="83">
        <f>-(S19*M8+S21*M7)</f>
        <v>-173768.22999999998</v>
      </c>
      <c r="Q16" s="84">
        <f>-(S19*M8+S22*M7)</f>
        <v>-88401.14</v>
      </c>
      <c r="R16" s="84">
        <f>-(S19*H8+S23*H7+H9*S20)</f>
        <v>-60417.595000000001</v>
      </c>
      <c r="W16" s="58" t="s">
        <v>90</v>
      </c>
      <c r="X16" s="88"/>
      <c r="Y16" s="59" t="s">
        <v>91</v>
      </c>
      <c r="Z16" s="89" t="s">
        <v>92</v>
      </c>
    </row>
    <row r="17" spans="1:26" ht="16.5" thickBot="1" x14ac:dyDescent="0.3">
      <c r="B17" s="14" t="s">
        <v>86</v>
      </c>
      <c r="C17" s="49"/>
      <c r="D17" s="49"/>
      <c r="E17" s="49"/>
      <c r="F17" s="172">
        <f>+$R$16</f>
        <v>-60417.595000000001</v>
      </c>
      <c r="G17" s="172">
        <f>+$R$16</f>
        <v>-60417.595000000001</v>
      </c>
      <c r="H17" s="81">
        <f>+R16</f>
        <v>-60417.595000000001</v>
      </c>
      <c r="I17" s="81">
        <f>+R16</f>
        <v>-60417.595000000001</v>
      </c>
      <c r="J17" s="81">
        <f>+R16</f>
        <v>-60417.595000000001</v>
      </c>
      <c r="K17" s="81">
        <f>+R16</f>
        <v>-60417.595000000001</v>
      </c>
      <c r="L17" s="81">
        <f>+R16</f>
        <v>-60417.595000000001</v>
      </c>
      <c r="M17" s="81">
        <v>-48168</v>
      </c>
      <c r="W17" s="90" t="s">
        <v>93</v>
      </c>
      <c r="X17" s="90"/>
      <c r="Y17" s="90">
        <v>20</v>
      </c>
      <c r="Z17" s="91">
        <f>1/Y17</f>
        <v>0.05</v>
      </c>
    </row>
    <row r="18" spans="1:26" ht="16.5" thickTop="1" x14ac:dyDescent="0.25">
      <c r="B18" s="2"/>
      <c r="E18" s="85" t="s">
        <v>87</v>
      </c>
      <c r="F18" s="173">
        <f t="shared" ref="F18:G18" si="0">SUM(F15:F17)</f>
        <v>8140188.835</v>
      </c>
      <c r="G18" s="173">
        <f t="shared" si="0"/>
        <v>8200608.4300000006</v>
      </c>
      <c r="H18" s="86">
        <f t="shared" ref="H18:M18" si="1">SUM(H15:H17)</f>
        <v>8261026.0250000004</v>
      </c>
      <c r="I18" s="86">
        <f t="shared" si="1"/>
        <v>8321443.6200000001</v>
      </c>
      <c r="J18" s="86">
        <f t="shared" si="1"/>
        <v>8381861.2150000008</v>
      </c>
      <c r="K18" s="86">
        <f t="shared" si="1"/>
        <v>8442278.8099999987</v>
      </c>
      <c r="L18" s="86">
        <f t="shared" si="1"/>
        <v>8502697.4049999993</v>
      </c>
      <c r="M18" s="86">
        <f t="shared" si="1"/>
        <v>8563115</v>
      </c>
      <c r="N18" s="47"/>
      <c r="P18" s="58" t="s">
        <v>90</v>
      </c>
      <c r="Q18" s="88"/>
      <c r="R18" s="59" t="s">
        <v>91</v>
      </c>
      <c r="S18" s="89" t="s">
        <v>92</v>
      </c>
      <c r="W18" s="90" t="s">
        <v>96</v>
      </c>
      <c r="X18" s="90"/>
      <c r="Y18" s="90">
        <v>50</v>
      </c>
      <c r="Z18" s="92">
        <f>1/Y18</f>
        <v>0.02</v>
      </c>
    </row>
    <row r="19" spans="1:26" x14ac:dyDescent="0.25">
      <c r="B19" s="14"/>
      <c r="D19" s="14"/>
      <c r="E19" s="14"/>
      <c r="F19" s="64"/>
      <c r="G19" s="64"/>
      <c r="H19" s="14"/>
      <c r="I19" s="14"/>
      <c r="J19" s="14"/>
      <c r="K19" s="14"/>
      <c r="L19" s="14"/>
      <c r="M19" s="14"/>
      <c r="P19" s="90" t="s">
        <v>93</v>
      </c>
      <c r="Q19" s="90"/>
      <c r="R19" s="90">
        <v>20</v>
      </c>
      <c r="S19" s="92">
        <f>1/R19</f>
        <v>0.05</v>
      </c>
      <c r="W19" s="90" t="s">
        <v>96</v>
      </c>
      <c r="X19" s="90"/>
      <c r="Y19" s="90">
        <v>100</v>
      </c>
      <c r="Z19" s="92">
        <f>1/Y19</f>
        <v>0.01</v>
      </c>
    </row>
    <row r="20" spans="1:26" x14ac:dyDescent="0.25">
      <c r="A20" s="46" t="s">
        <v>88</v>
      </c>
      <c r="B20" s="18" t="s">
        <v>14</v>
      </c>
      <c r="L20" s="87"/>
      <c r="M20" s="87"/>
      <c r="P20" s="97" t="s">
        <v>128</v>
      </c>
      <c r="Q20" s="98"/>
      <c r="R20" s="99">
        <v>25</v>
      </c>
      <c r="S20" s="92">
        <v>0.04</v>
      </c>
      <c r="T20" t="s">
        <v>129</v>
      </c>
      <c r="W20" s="90" t="s">
        <v>96</v>
      </c>
      <c r="X20" s="90"/>
      <c r="Y20" s="90">
        <v>200</v>
      </c>
      <c r="Z20" s="92">
        <f>1/Y20</f>
        <v>5.0000000000000001E-3</v>
      </c>
    </row>
    <row r="21" spans="1:26" x14ac:dyDescent="0.25">
      <c r="B21" s="209" t="s">
        <v>89</v>
      </c>
      <c r="C21" s="210"/>
      <c r="D21" s="210"/>
      <c r="E21" s="210"/>
      <c r="F21" s="70">
        <f t="shared" ref="F21:L21" si="2">+G6-G7</f>
        <v>1542051</v>
      </c>
      <c r="G21" s="70">
        <f t="shared" si="2"/>
        <v>1542051</v>
      </c>
      <c r="H21" s="14">
        <f t="shared" si="2"/>
        <v>1542051</v>
      </c>
      <c r="I21" s="14">
        <f t="shared" si="2"/>
        <v>1542051</v>
      </c>
      <c r="J21" s="14">
        <f t="shared" si="2"/>
        <v>1542051</v>
      </c>
      <c r="K21" s="14">
        <f t="shared" si="2"/>
        <v>1542051</v>
      </c>
      <c r="L21" s="14">
        <f t="shared" si="2"/>
        <v>1542051</v>
      </c>
      <c r="M21" s="14">
        <v>1542051</v>
      </c>
      <c r="P21" s="90" t="s">
        <v>96</v>
      </c>
      <c r="Q21" s="90"/>
      <c r="R21" s="90">
        <v>50</v>
      </c>
      <c r="S21" s="92">
        <f>1/R21</f>
        <v>0.02</v>
      </c>
    </row>
    <row r="22" spans="1:26" x14ac:dyDescent="0.25">
      <c r="B22" s="94"/>
      <c r="C22" s="95"/>
      <c r="D22" s="95"/>
      <c r="E22" s="95"/>
      <c r="F22" s="64"/>
      <c r="G22" s="64"/>
      <c r="H22" s="14"/>
      <c r="I22" s="14"/>
      <c r="J22" s="14"/>
      <c r="K22" s="14"/>
      <c r="L22" s="14"/>
      <c r="M22" s="14"/>
      <c r="P22" s="90" t="s">
        <v>96</v>
      </c>
      <c r="Q22" s="90"/>
      <c r="R22" s="90">
        <v>100</v>
      </c>
      <c r="S22" s="92">
        <f>1/R22</f>
        <v>0.01</v>
      </c>
    </row>
    <row r="23" spans="1:26" x14ac:dyDescent="0.25">
      <c r="A23" s="46" t="s">
        <v>94</v>
      </c>
      <c r="B23" s="18" t="s">
        <v>189</v>
      </c>
      <c r="C23" s="95"/>
      <c r="D23" s="95"/>
      <c r="E23" s="95"/>
      <c r="F23" s="170"/>
      <c r="G23" s="170"/>
      <c r="H23" s="148"/>
      <c r="I23" s="14"/>
      <c r="J23" s="14"/>
      <c r="K23" s="14"/>
      <c r="L23" s="14"/>
      <c r="M23" s="14"/>
      <c r="P23" s="90" t="s">
        <v>96</v>
      </c>
      <c r="Q23" s="90"/>
      <c r="R23" s="90">
        <v>200</v>
      </c>
      <c r="S23" s="92">
        <f>1/R23</f>
        <v>5.0000000000000001E-3</v>
      </c>
    </row>
    <row r="24" spans="1:26" x14ac:dyDescent="0.25">
      <c r="B24" s="94" t="s">
        <v>190</v>
      </c>
      <c r="C24" s="95"/>
      <c r="D24" s="95"/>
      <c r="E24" s="95"/>
      <c r="F24" s="70">
        <v>132272</v>
      </c>
      <c r="G24" s="70">
        <v>132272</v>
      </c>
      <c r="H24" s="14">
        <v>87749</v>
      </c>
      <c r="I24" s="14"/>
      <c r="J24" s="14"/>
      <c r="K24" s="14"/>
      <c r="L24" s="14"/>
      <c r="M24" s="14"/>
      <c r="S24" s="100"/>
    </row>
    <row r="25" spans="1:26" x14ac:dyDescent="0.25">
      <c r="B25" s="14" t="s">
        <v>82</v>
      </c>
      <c r="C25" s="95"/>
      <c r="D25" s="95"/>
      <c r="E25" s="95"/>
      <c r="F25" s="70">
        <f>G25+G26</f>
        <v>-57154.074000000001</v>
      </c>
      <c r="G25" s="70">
        <f>H25+H26</f>
        <v>-43312</v>
      </c>
      <c r="H25" s="14">
        <v>-38374</v>
      </c>
      <c r="I25" s="14"/>
      <c r="J25" s="14"/>
      <c r="K25" s="14"/>
      <c r="L25" s="14"/>
      <c r="M25" s="14"/>
    </row>
    <row r="26" spans="1:26" ht="16.5" thickBot="1" x14ac:dyDescent="0.3">
      <c r="B26" s="14" t="s">
        <v>86</v>
      </c>
      <c r="C26" s="95"/>
      <c r="D26" s="95"/>
      <c r="E26" s="95"/>
      <c r="F26" s="172">
        <f>-V33</f>
        <v>-13842.074000000001</v>
      </c>
      <c r="G26" s="172">
        <f>-V33</f>
        <v>-13842.074000000001</v>
      </c>
      <c r="H26" s="81">
        <v>-4938</v>
      </c>
      <c r="I26" s="14"/>
      <c r="J26" s="14"/>
      <c r="K26" s="14"/>
      <c r="L26" s="14"/>
      <c r="M26" s="14"/>
      <c r="P26" s="8" t="s">
        <v>205</v>
      </c>
    </row>
    <row r="27" spans="1:26" ht="24.6" customHeight="1" thickTop="1" x14ac:dyDescent="0.25">
      <c r="B27" s="94"/>
      <c r="C27" s="95"/>
      <c r="D27" s="95"/>
      <c r="E27" s="95"/>
      <c r="F27" s="173">
        <f t="shared" ref="F27" si="3">SUM(F24:F26)</f>
        <v>61275.852000000006</v>
      </c>
      <c r="G27" s="173">
        <f t="shared" ref="G27:H27" si="4">SUM(G24:G26)</f>
        <v>75117.926000000007</v>
      </c>
      <c r="H27" s="86">
        <f t="shared" si="4"/>
        <v>44437</v>
      </c>
      <c r="I27" s="14"/>
      <c r="J27" s="14"/>
      <c r="K27" s="14"/>
      <c r="L27" s="14"/>
      <c r="M27" s="14"/>
      <c r="P27" s="58" t="s">
        <v>90</v>
      </c>
      <c r="Q27" s="88"/>
      <c r="R27" s="88" t="s">
        <v>204</v>
      </c>
      <c r="S27" s="152" t="s">
        <v>191</v>
      </c>
      <c r="T27" s="152" t="s">
        <v>192</v>
      </c>
      <c r="U27" s="153" t="s">
        <v>92</v>
      </c>
      <c r="V27" s="155" t="s">
        <v>86</v>
      </c>
    </row>
    <row r="28" spans="1:26" x14ac:dyDescent="0.25">
      <c r="B28" s="94"/>
      <c r="C28" s="95"/>
      <c r="D28" s="95"/>
      <c r="E28" s="95"/>
      <c r="F28" s="171"/>
      <c r="G28" s="171"/>
      <c r="H28" s="95"/>
      <c r="I28" s="95"/>
      <c r="J28" s="95"/>
      <c r="K28" s="95"/>
      <c r="L28" s="14"/>
      <c r="M28" s="14"/>
      <c r="P28" s="142" t="s">
        <v>193</v>
      </c>
      <c r="Q28" s="142"/>
      <c r="R28" s="144">
        <v>49375</v>
      </c>
      <c r="S28" s="140">
        <v>2020</v>
      </c>
      <c r="T28" s="140">
        <v>10</v>
      </c>
      <c r="U28" s="141">
        <f>1/T28</f>
        <v>0.1</v>
      </c>
      <c r="V28" s="154">
        <f>R28*U28</f>
        <v>4937.5</v>
      </c>
    </row>
    <row r="29" spans="1:26" x14ac:dyDescent="0.25">
      <c r="A29" s="46" t="s">
        <v>100</v>
      </c>
      <c r="B29" s="46" t="s">
        <v>95</v>
      </c>
      <c r="P29" s="97" t="s">
        <v>213</v>
      </c>
      <c r="Q29" s="139"/>
      <c r="R29" s="144">
        <v>44522.87</v>
      </c>
      <c r="S29" s="140">
        <v>2021</v>
      </c>
      <c r="T29" s="140">
        <v>5</v>
      </c>
      <c r="U29" s="141">
        <f>1/T29</f>
        <v>0.2</v>
      </c>
      <c r="V29" s="154">
        <f>R29*U29</f>
        <v>8904.5740000000005</v>
      </c>
    </row>
    <row r="30" spans="1:26" x14ac:dyDescent="0.25">
      <c r="B30" s="49" t="s">
        <v>97</v>
      </c>
      <c r="C30" s="49"/>
      <c r="D30" s="49"/>
      <c r="E30" s="49"/>
      <c r="F30" s="70">
        <v>7503</v>
      </c>
      <c r="G30" s="70">
        <f>11585-2021-20</f>
        <v>9544</v>
      </c>
      <c r="H30" s="70">
        <f>11585-2021-20</f>
        <v>9544</v>
      </c>
      <c r="I30" s="70">
        <v>11585</v>
      </c>
      <c r="J30" s="70">
        <v>11585</v>
      </c>
      <c r="K30" s="70">
        <v>11585</v>
      </c>
      <c r="L30" s="14">
        <v>11585</v>
      </c>
      <c r="M30" s="14">
        <v>11585</v>
      </c>
      <c r="P30" s="97" t="s">
        <v>214</v>
      </c>
      <c r="Q30" s="139"/>
      <c r="R30" s="176">
        <v>38374</v>
      </c>
      <c r="S30" s="90"/>
      <c r="T30" s="90"/>
      <c r="U30" s="92"/>
      <c r="V30" s="92"/>
    </row>
    <row r="31" spans="1:26" x14ac:dyDescent="0.25">
      <c r="B31" s="49" t="s">
        <v>153</v>
      </c>
      <c r="C31" s="49"/>
      <c r="D31" s="49"/>
      <c r="E31" s="49"/>
      <c r="F31" s="70">
        <f>6518+3198</f>
        <v>9716</v>
      </c>
      <c r="G31" s="70">
        <f>6704+4042</f>
        <v>10746</v>
      </c>
      <c r="H31" s="70">
        <f>5393+1761</f>
        <v>7154</v>
      </c>
      <c r="I31" s="70">
        <v>6960</v>
      </c>
      <c r="J31" s="70">
        <v>7100</v>
      </c>
      <c r="K31" s="70">
        <v>6723</v>
      </c>
      <c r="L31" s="14">
        <f>1302+4874+4806</f>
        <v>10982</v>
      </c>
      <c r="M31" s="14">
        <f>13480-3073</f>
        <v>10407</v>
      </c>
      <c r="P31" s="97"/>
      <c r="Q31" s="139"/>
      <c r="R31" s="139"/>
      <c r="S31" s="90"/>
      <c r="T31" s="90"/>
      <c r="U31" s="92"/>
      <c r="V31" s="92"/>
    </row>
    <row r="32" spans="1:26" x14ac:dyDescent="0.25">
      <c r="B32" s="49" t="s">
        <v>138</v>
      </c>
      <c r="C32" s="49"/>
      <c r="D32" s="49"/>
      <c r="E32" s="49"/>
      <c r="F32" s="70">
        <v>7407</v>
      </c>
      <c r="G32" s="70">
        <f>7145+77</f>
        <v>7222</v>
      </c>
      <c r="H32" s="70">
        <v>6959</v>
      </c>
      <c r="I32" s="70">
        <v>6757</v>
      </c>
      <c r="J32" s="70">
        <v>3320</v>
      </c>
      <c r="K32" s="70">
        <v>3206</v>
      </c>
      <c r="L32" s="14">
        <v>3138</v>
      </c>
      <c r="M32" s="14">
        <v>3073</v>
      </c>
      <c r="P32" s="143"/>
      <c r="Q32" s="138"/>
      <c r="R32" s="138"/>
      <c r="S32" s="90"/>
      <c r="T32" s="90"/>
      <c r="U32" s="92"/>
      <c r="V32" s="92"/>
    </row>
    <row r="33" spans="1:22" x14ac:dyDescent="0.25">
      <c r="B33" s="49" t="s">
        <v>223</v>
      </c>
      <c r="C33" s="49"/>
      <c r="D33" s="49"/>
      <c r="E33" s="49"/>
      <c r="F33" s="70"/>
      <c r="G33" s="70">
        <v>2037.5</v>
      </c>
      <c r="H33" s="70"/>
      <c r="I33" s="70"/>
      <c r="J33" s="70"/>
      <c r="K33" s="64"/>
      <c r="L33" s="14">
        <v>1125</v>
      </c>
      <c r="M33" s="14"/>
      <c r="P33" t="s">
        <v>99</v>
      </c>
      <c r="R33" s="174">
        <f>SUM(R28:R32)</f>
        <v>132271.87</v>
      </c>
      <c r="V33" s="175">
        <f>SUM(V28:V32)</f>
        <v>13842.074000000001</v>
      </c>
    </row>
    <row r="34" spans="1:22" x14ac:dyDescent="0.25">
      <c r="B34" s="49" t="s">
        <v>137</v>
      </c>
      <c r="C34" s="49"/>
      <c r="D34" s="49"/>
      <c r="E34" s="49"/>
      <c r="F34" s="70"/>
      <c r="G34" s="70"/>
      <c r="H34" s="70"/>
      <c r="I34" s="70"/>
      <c r="J34" s="64"/>
      <c r="K34" s="64"/>
      <c r="L34" s="14">
        <v>3200</v>
      </c>
      <c r="M34" s="14"/>
    </row>
    <row r="35" spans="1:22" ht="16.5" thickBot="1" x14ac:dyDescent="0.3">
      <c r="E35" s="85" t="s">
        <v>99</v>
      </c>
      <c r="F35" s="133">
        <f t="shared" ref="F35:G35" si="5">SUM(F30:F34)</f>
        <v>24626</v>
      </c>
      <c r="G35" s="133">
        <f t="shared" si="5"/>
        <v>29549.5</v>
      </c>
      <c r="H35" s="133">
        <f t="shared" ref="H35:M35" si="6">SUM(H30:H34)</f>
        <v>23657</v>
      </c>
      <c r="I35" s="133">
        <f t="shared" si="6"/>
        <v>25302</v>
      </c>
      <c r="J35" s="101">
        <f t="shared" si="6"/>
        <v>22005</v>
      </c>
      <c r="K35" s="101">
        <f t="shared" si="6"/>
        <v>21514</v>
      </c>
      <c r="L35" s="101">
        <f t="shared" si="6"/>
        <v>30030</v>
      </c>
      <c r="M35" s="101">
        <f t="shared" si="6"/>
        <v>25065</v>
      </c>
    </row>
    <row r="36" spans="1:22" ht="16.5" thickTop="1" x14ac:dyDescent="0.25"/>
    <row r="37" spans="1:22" x14ac:dyDescent="0.25">
      <c r="A37" s="46" t="s">
        <v>104</v>
      </c>
      <c r="B37" s="46" t="s">
        <v>38</v>
      </c>
      <c r="L37" s="87"/>
      <c r="M37" s="87"/>
    </row>
    <row r="38" spans="1:22" x14ac:dyDescent="0.25">
      <c r="B38" s="49" t="s">
        <v>112</v>
      </c>
      <c r="C38" s="49"/>
      <c r="D38" s="49"/>
      <c r="E38" s="49"/>
      <c r="F38" s="70">
        <v>10080000</v>
      </c>
      <c r="G38" s="70">
        <v>10080000</v>
      </c>
      <c r="H38" s="14">
        <v>10080000</v>
      </c>
      <c r="I38" s="14">
        <v>10080000</v>
      </c>
      <c r="J38" s="14">
        <v>10080000</v>
      </c>
      <c r="K38" s="14">
        <v>10080000</v>
      </c>
      <c r="L38" s="14">
        <v>10080000</v>
      </c>
      <c r="M38" s="14">
        <v>10080000</v>
      </c>
    </row>
  </sheetData>
  <mergeCells count="3">
    <mergeCell ref="B3:M4"/>
    <mergeCell ref="U6:U7"/>
    <mergeCell ref="B21:E21"/>
  </mergeCell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8"/>
  <sheetViews>
    <sheetView workbookViewId="0">
      <selection activeCell="F56" sqref="F56"/>
    </sheetView>
  </sheetViews>
  <sheetFormatPr defaultRowHeight="15.75" x14ac:dyDescent="0.25"/>
  <cols>
    <col min="1" max="1" width="7.42578125" style="46" customWidth="1"/>
    <col min="2" max="2" width="28.140625" customWidth="1"/>
    <col min="3" max="3" width="6.7109375" customWidth="1"/>
    <col min="4" max="4" width="8.5703125" customWidth="1"/>
    <col min="5" max="8" width="13.42578125" customWidth="1"/>
    <col min="9" max="10" width="13.28515625" customWidth="1"/>
    <col min="11" max="11" width="10.7109375" hidden="1" customWidth="1"/>
    <col min="12" max="13" width="13" hidden="1" customWidth="1"/>
    <col min="14" max="14" width="6.5703125" hidden="1" customWidth="1"/>
    <col min="15" max="15" width="8.85546875" customWidth="1"/>
    <col min="16" max="16" width="9.28515625" customWidth="1"/>
    <col min="17" max="17" width="9.140625" customWidth="1"/>
    <col min="18" max="18" width="8.5703125" customWidth="1"/>
    <col min="19" max="19" width="10.7109375" customWidth="1"/>
    <col min="20" max="20" width="9.5703125" customWidth="1"/>
    <col min="21" max="28" width="8.85546875" customWidth="1"/>
  </cols>
  <sheetData>
    <row r="1" spans="1:27" ht="21" x14ac:dyDescent="0.35">
      <c r="A1" s="45" t="s">
        <v>232</v>
      </c>
    </row>
    <row r="2" spans="1:27" x14ac:dyDescent="0.25">
      <c r="B2" s="18"/>
    </row>
    <row r="3" spans="1:27" x14ac:dyDescent="0.25"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27" ht="16.5" thickBot="1" x14ac:dyDescent="0.3">
      <c r="B4" s="46" t="s">
        <v>159</v>
      </c>
      <c r="F4" s="103" t="s">
        <v>225</v>
      </c>
      <c r="G4" s="103" t="s">
        <v>212</v>
      </c>
      <c r="H4" s="103" t="s">
        <v>184</v>
      </c>
      <c r="I4" s="103" t="s">
        <v>181</v>
      </c>
      <c r="J4" s="103" t="s">
        <v>158</v>
      </c>
      <c r="L4" s="48"/>
    </row>
    <row r="5" spans="1:27" ht="15.6" customHeight="1" x14ac:dyDescent="0.25">
      <c r="B5" s="14"/>
      <c r="C5" s="49"/>
      <c r="D5" s="49"/>
      <c r="F5" s="14"/>
      <c r="G5" s="14"/>
      <c r="H5" s="14"/>
      <c r="I5" s="14"/>
      <c r="J5" s="14"/>
      <c r="K5" s="14"/>
      <c r="L5" s="14"/>
      <c r="M5" s="14"/>
      <c r="P5" s="50" t="s">
        <v>62</v>
      </c>
      <c r="Q5" s="51"/>
      <c r="R5" s="52" t="s">
        <v>69</v>
      </c>
      <c r="S5" s="53"/>
      <c r="T5" s="53"/>
      <c r="U5" s="207" t="s">
        <v>200</v>
      </c>
      <c r="W5" s="73" t="s">
        <v>80</v>
      </c>
      <c r="X5" s="74"/>
      <c r="Y5" s="74"/>
      <c r="Z5" s="74"/>
      <c r="AA5" s="75"/>
    </row>
    <row r="6" spans="1:27" x14ac:dyDescent="0.25">
      <c r="B6" s="14" t="s">
        <v>71</v>
      </c>
      <c r="C6" s="110">
        <v>5.0000000000000001E-3</v>
      </c>
      <c r="D6" s="109"/>
      <c r="F6" s="14">
        <v>8536709</v>
      </c>
      <c r="G6" s="14">
        <v>8536709</v>
      </c>
      <c r="H6" s="14">
        <v>8536709</v>
      </c>
      <c r="I6" s="14">
        <v>8536709</v>
      </c>
      <c r="J6" s="14">
        <v>8536709</v>
      </c>
      <c r="K6" s="14">
        <v>8536709</v>
      </c>
      <c r="L6" s="14">
        <v>8536709</v>
      </c>
      <c r="M6" s="14">
        <v>8536709</v>
      </c>
      <c r="P6" s="56"/>
      <c r="Q6" s="57"/>
      <c r="R6" s="58" t="s">
        <v>73</v>
      </c>
      <c r="S6" s="59" t="s">
        <v>74</v>
      </c>
      <c r="T6" s="59" t="s">
        <v>75</v>
      </c>
      <c r="U6" s="211"/>
      <c r="W6" s="76" t="s">
        <v>81</v>
      </c>
      <c r="X6" s="77"/>
      <c r="Y6" s="78"/>
    </row>
    <row r="7" spans="1:27" x14ac:dyDescent="0.25">
      <c r="B7" s="14" t="s">
        <v>155</v>
      </c>
      <c r="C7" s="111">
        <v>0.05</v>
      </c>
      <c r="D7" s="49"/>
      <c r="F7" s="14">
        <v>60681</v>
      </c>
      <c r="G7" s="14">
        <v>60681</v>
      </c>
      <c r="H7" s="14">
        <v>60681</v>
      </c>
      <c r="I7" s="14">
        <v>60681</v>
      </c>
      <c r="J7" s="14">
        <v>60681</v>
      </c>
      <c r="K7" s="14">
        <v>60681</v>
      </c>
      <c r="L7" s="14">
        <v>60681</v>
      </c>
      <c r="M7" s="14">
        <v>60681</v>
      </c>
      <c r="N7" s="14"/>
      <c r="P7" s="60" t="s">
        <v>77</v>
      </c>
      <c r="Q7" s="61"/>
      <c r="R7" s="62">
        <v>5</v>
      </c>
      <c r="S7" s="62">
        <v>403334</v>
      </c>
      <c r="T7" s="62">
        <f>+R7*S7</f>
        <v>2016670</v>
      </c>
      <c r="U7" s="63"/>
      <c r="W7" s="79" t="s">
        <v>83</v>
      </c>
      <c r="X7" s="80" t="s">
        <v>84</v>
      </c>
      <c r="Y7" s="80" t="s">
        <v>85</v>
      </c>
    </row>
    <row r="8" spans="1:27" ht="16.5" thickBot="1" x14ac:dyDescent="0.3">
      <c r="B8" s="14" t="s">
        <v>156</v>
      </c>
      <c r="C8" s="111">
        <v>0.04</v>
      </c>
      <c r="D8" s="49"/>
      <c r="F8" s="14">
        <v>367500</v>
      </c>
      <c r="G8" s="14">
        <v>367500</v>
      </c>
      <c r="H8" s="14">
        <v>367500</v>
      </c>
      <c r="I8" s="14">
        <v>367500</v>
      </c>
      <c r="J8" s="14">
        <v>367500</v>
      </c>
      <c r="K8" s="14">
        <v>367500</v>
      </c>
      <c r="L8" s="14">
        <v>367500</v>
      </c>
      <c r="M8" s="14">
        <v>367500</v>
      </c>
      <c r="N8" s="64"/>
      <c r="P8" s="65" t="s">
        <v>78</v>
      </c>
      <c r="Q8" s="66"/>
      <c r="R8" s="67">
        <v>5</v>
      </c>
      <c r="S8" s="67">
        <v>605</v>
      </c>
      <c r="T8" s="68">
        <f>+S8*R8</f>
        <v>3025</v>
      </c>
      <c r="U8" s="69">
        <f>+I11*0.003</f>
        <v>6885</v>
      </c>
      <c r="W8" s="83">
        <f>-(Z16*M7+Z17*M6)</f>
        <v>-173768.22999999998</v>
      </c>
      <c r="X8" s="84">
        <f>-(Z16*M7+Z18*M6)</f>
        <v>-88401.14</v>
      </c>
      <c r="Y8" s="84">
        <f>-(Z16*M7+Z19*M6)</f>
        <v>-45717.595000000001</v>
      </c>
    </row>
    <row r="9" spans="1:27" ht="16.5" thickBot="1" x14ac:dyDescent="0.3">
      <c r="B9" s="115" t="s">
        <v>157</v>
      </c>
      <c r="F9" s="118">
        <f>SUM(F6:F8)</f>
        <v>8964890</v>
      </c>
      <c r="G9" s="118">
        <f>SUM(G6:G8)</f>
        <v>8964890</v>
      </c>
      <c r="H9" s="118">
        <f>SUM(H6:H8)</f>
        <v>8964890</v>
      </c>
      <c r="I9" s="118">
        <f>SUM(I6:I8)</f>
        <v>8964890</v>
      </c>
      <c r="J9" s="118">
        <f>SUM(J6:J8)</f>
        <v>8964890</v>
      </c>
      <c r="N9" s="14"/>
    </row>
    <row r="10" spans="1:27" ht="16.5" thickTop="1" x14ac:dyDescent="0.25">
      <c r="B10" s="115"/>
      <c r="F10" s="24"/>
      <c r="G10" s="24"/>
      <c r="H10" s="24"/>
      <c r="I10" s="24"/>
      <c r="J10" s="24"/>
      <c r="N10" s="14"/>
    </row>
    <row r="11" spans="1:27" x14ac:dyDescent="0.25">
      <c r="B11" s="14" t="s">
        <v>79</v>
      </c>
      <c r="C11" s="49"/>
      <c r="D11" s="49"/>
      <c r="F11" s="14">
        <f>'NOTER 2022'!F11</f>
        <v>2431670</v>
      </c>
      <c r="G11" s="14">
        <v>2431670</v>
      </c>
      <c r="H11" s="14">
        <v>2381670</v>
      </c>
      <c r="I11" s="14">
        <v>2295000</v>
      </c>
      <c r="J11" s="14">
        <v>2295000</v>
      </c>
      <c r="K11" s="14">
        <v>4752000</v>
      </c>
      <c r="L11" s="14">
        <v>4752000</v>
      </c>
      <c r="M11" s="14">
        <v>4752000</v>
      </c>
      <c r="N11" s="28"/>
    </row>
    <row r="12" spans="1:27" hidden="1" x14ac:dyDescent="0.25">
      <c r="B12" s="70" t="s">
        <v>114</v>
      </c>
      <c r="C12" s="49"/>
      <c r="D12" s="49"/>
      <c r="F12" s="14">
        <v>4027000</v>
      </c>
      <c r="G12" s="14">
        <v>4027000</v>
      </c>
      <c r="H12" s="14">
        <v>4027000</v>
      </c>
      <c r="I12" s="14">
        <v>4027000</v>
      </c>
      <c r="J12" s="14">
        <v>4027000</v>
      </c>
      <c r="K12" s="14">
        <v>4027000</v>
      </c>
      <c r="L12" s="14">
        <v>4027000</v>
      </c>
      <c r="M12" s="14">
        <v>4027000</v>
      </c>
      <c r="N12" s="14"/>
      <c r="O12" s="2"/>
    </row>
    <row r="13" spans="1:27" x14ac:dyDescent="0.25">
      <c r="B13" s="71"/>
      <c r="L13" s="2"/>
      <c r="M13" s="2"/>
      <c r="N13" s="14"/>
      <c r="P13" s="73" t="s">
        <v>80</v>
      </c>
      <c r="Q13" s="74"/>
      <c r="R13" s="74"/>
      <c r="S13" s="74"/>
      <c r="T13" s="75"/>
    </row>
    <row r="14" spans="1:27" x14ac:dyDescent="0.25">
      <c r="B14" s="18" t="s">
        <v>164</v>
      </c>
      <c r="K14" s="103" t="s">
        <v>146</v>
      </c>
      <c r="L14" s="103" t="s">
        <v>147</v>
      </c>
      <c r="M14" s="72" t="s">
        <v>123</v>
      </c>
      <c r="N14" s="14"/>
      <c r="P14" s="76" t="s">
        <v>81</v>
      </c>
      <c r="Q14" s="77"/>
      <c r="R14" s="78"/>
    </row>
    <row r="15" spans="1:27" x14ac:dyDescent="0.25">
      <c r="B15" s="14" t="s">
        <v>82</v>
      </c>
      <c r="C15" s="49"/>
      <c r="D15" s="49"/>
      <c r="F15" s="14">
        <f>G15+G16-1</f>
        <v>-764283.56999999983</v>
      </c>
      <c r="G15" s="14">
        <f>H15+H16</f>
        <v>-703864.97499999986</v>
      </c>
      <c r="H15" s="14">
        <f>I15+I16</f>
        <v>-643447.37999999989</v>
      </c>
      <c r="I15" s="14">
        <f>J15+J16</f>
        <v>-583029.78499999992</v>
      </c>
      <c r="J15" s="14">
        <f>K15+K16-1</f>
        <v>-522612.18999999994</v>
      </c>
      <c r="K15" s="14">
        <f>L15+L16-1</f>
        <v>-462193.59499999997</v>
      </c>
      <c r="L15" s="14">
        <f>M15+M16</f>
        <v>-401775</v>
      </c>
      <c r="M15" s="14">
        <v>-353607</v>
      </c>
      <c r="P15" s="83">
        <f>-(S42*M7+S47*M6)</f>
        <v>-173768.22999999998</v>
      </c>
      <c r="Q15" s="84">
        <f>-(S42*M7+S48*M6)</f>
        <v>-88401.14</v>
      </c>
      <c r="R15" s="84">
        <f>-(S42*J7+S49*J6+J8*S45)</f>
        <v>-60417.595000000001</v>
      </c>
      <c r="W15" s="58" t="s">
        <v>90</v>
      </c>
      <c r="X15" s="88"/>
      <c r="Y15" s="59" t="s">
        <v>91</v>
      </c>
      <c r="Z15" s="89" t="s">
        <v>92</v>
      </c>
    </row>
    <row r="16" spans="1:27" ht="16.5" thickBot="1" x14ac:dyDescent="0.3">
      <c r="B16" s="14" t="s">
        <v>86</v>
      </c>
      <c r="C16" s="49"/>
      <c r="D16" s="49"/>
      <c r="F16" s="14">
        <f>'NOTER 2022'!R16</f>
        <v>-60417.595000000001</v>
      </c>
      <c r="G16" s="14">
        <f>+R15</f>
        <v>-60417.595000000001</v>
      </c>
      <c r="H16" s="14">
        <f>+R15</f>
        <v>-60417.595000000001</v>
      </c>
      <c r="I16" s="14">
        <f>+R15</f>
        <v>-60417.595000000001</v>
      </c>
      <c r="J16" s="14">
        <f>+R15</f>
        <v>-60417.595000000001</v>
      </c>
      <c r="K16" s="81">
        <f>+R15</f>
        <v>-60417.595000000001</v>
      </c>
      <c r="L16" s="81">
        <f>+R15</f>
        <v>-60417.595000000001</v>
      </c>
      <c r="M16" s="81">
        <v>-48168</v>
      </c>
      <c r="W16" s="90" t="s">
        <v>93</v>
      </c>
      <c r="X16" s="90"/>
      <c r="Y16" s="90">
        <v>20</v>
      </c>
      <c r="Z16" s="91">
        <f>1/Y16</f>
        <v>0.05</v>
      </c>
    </row>
    <row r="17" spans="2:26" ht="17.25" thickTop="1" thickBot="1" x14ac:dyDescent="0.3">
      <c r="B17" s="19" t="s">
        <v>160</v>
      </c>
      <c r="F17" s="118">
        <f t="shared" ref="F17:G17" si="0">SUM(F15:F16)</f>
        <v>-824701.1649999998</v>
      </c>
      <c r="G17" s="118">
        <f t="shared" si="0"/>
        <v>-764282.56999999983</v>
      </c>
      <c r="H17" s="118">
        <f t="shared" ref="H17:M17" si="1">SUM(H15:H16)</f>
        <v>-703864.97499999986</v>
      </c>
      <c r="I17" s="118">
        <f t="shared" si="1"/>
        <v>-643447.37999999989</v>
      </c>
      <c r="J17" s="118">
        <f t="shared" si="1"/>
        <v>-583029.78499999992</v>
      </c>
      <c r="K17" s="86">
        <f t="shared" si="1"/>
        <v>-522611.18999999994</v>
      </c>
      <c r="L17" s="86">
        <f t="shared" si="1"/>
        <v>-462192.59499999997</v>
      </c>
      <c r="M17" s="86">
        <f t="shared" si="1"/>
        <v>-401775</v>
      </c>
      <c r="N17" s="47"/>
      <c r="W17" s="90" t="s">
        <v>96</v>
      </c>
      <c r="X17" s="90"/>
      <c r="Y17" s="90">
        <v>50</v>
      </c>
      <c r="Z17" s="92">
        <f>1/Y17</f>
        <v>0.02</v>
      </c>
    </row>
    <row r="18" spans="2:26" ht="16.5" thickTop="1" x14ac:dyDescent="0.25">
      <c r="B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W18" s="90" t="s">
        <v>96</v>
      </c>
      <c r="X18" s="90"/>
      <c r="Y18" s="90">
        <v>100</v>
      </c>
      <c r="Z18" s="92">
        <f>1/Y18</f>
        <v>0.01</v>
      </c>
    </row>
    <row r="19" spans="2:26" x14ac:dyDescent="0.25">
      <c r="B19" s="18" t="s">
        <v>14</v>
      </c>
      <c r="L19" s="87"/>
      <c r="M19" s="87"/>
      <c r="W19" s="90" t="s">
        <v>96</v>
      </c>
      <c r="X19" s="90"/>
      <c r="Y19" s="90">
        <v>200</v>
      </c>
      <c r="Z19" s="92">
        <f>1/Y19</f>
        <v>5.0000000000000001E-3</v>
      </c>
    </row>
    <row r="20" spans="2:26" x14ac:dyDescent="0.25">
      <c r="B20" s="209" t="s">
        <v>161</v>
      </c>
      <c r="C20" s="209"/>
      <c r="D20" s="209"/>
      <c r="E20" s="209"/>
      <c r="F20" s="14">
        <v>10078760</v>
      </c>
      <c r="G20" s="14">
        <v>10078760</v>
      </c>
      <c r="H20" s="14">
        <v>10078760</v>
      </c>
      <c r="I20" s="14">
        <v>10078760</v>
      </c>
      <c r="J20" s="14">
        <v>10078760</v>
      </c>
      <c r="K20" s="14">
        <f>+L5-L6</f>
        <v>-8536709</v>
      </c>
      <c r="L20" s="14">
        <f>+M5-M6</f>
        <v>-8536709</v>
      </c>
      <c r="M20" s="14">
        <v>1542051</v>
      </c>
    </row>
    <row r="21" spans="2:26" x14ac:dyDescent="0.25">
      <c r="B21" s="112" t="s">
        <v>162</v>
      </c>
      <c r="C21" s="95"/>
      <c r="D21" s="95"/>
      <c r="F21" s="95">
        <v>-8536709</v>
      </c>
      <c r="G21" s="95">
        <v>-8536709</v>
      </c>
      <c r="H21" s="95">
        <v>-8536709</v>
      </c>
      <c r="I21" s="95">
        <v>-8536709</v>
      </c>
      <c r="J21" s="95">
        <v>-8536709</v>
      </c>
      <c r="K21" s="95"/>
      <c r="L21" s="14"/>
      <c r="M21" s="14"/>
    </row>
    <row r="22" spans="2:26" ht="16.5" thickBot="1" x14ac:dyDescent="0.3">
      <c r="B22" s="116" t="s">
        <v>163</v>
      </c>
      <c r="C22" s="95"/>
      <c r="D22" s="95"/>
      <c r="F22" s="119">
        <f>SUM(F20:F21)</f>
        <v>1542051</v>
      </c>
      <c r="G22" s="119">
        <f>SUM(G20:G21)</f>
        <v>1542051</v>
      </c>
      <c r="H22" s="119">
        <f>SUM(H20:H21)</f>
        <v>1542051</v>
      </c>
      <c r="I22" s="119">
        <f>SUM(I20:I21)</f>
        <v>1542051</v>
      </c>
      <c r="J22" s="119">
        <f>SUM(J20:J21)</f>
        <v>1542051</v>
      </c>
      <c r="K22" s="95"/>
      <c r="L22" s="14"/>
      <c r="M22" s="14"/>
    </row>
    <row r="23" spans="2:26" ht="16.5" thickTop="1" x14ac:dyDescent="0.25">
      <c r="B23" s="116"/>
      <c r="C23" s="95"/>
      <c r="D23" s="95"/>
      <c r="E23" s="147"/>
      <c r="F23" s="147"/>
      <c r="G23" s="147"/>
      <c r="H23" s="147"/>
      <c r="I23" s="147"/>
      <c r="J23" s="147"/>
      <c r="K23" s="95"/>
      <c r="L23" s="14"/>
      <c r="M23" s="14"/>
    </row>
    <row r="24" spans="2:26" x14ac:dyDescent="0.25">
      <c r="B24" s="18" t="s">
        <v>189</v>
      </c>
      <c r="I24" s="147"/>
      <c r="J24" s="147"/>
      <c r="K24" s="95"/>
      <c r="L24" s="14"/>
      <c r="M24" s="14"/>
    </row>
    <row r="25" spans="2:26" x14ac:dyDescent="0.25">
      <c r="B25" s="209" t="s">
        <v>194</v>
      </c>
      <c r="C25" s="210"/>
      <c r="D25" s="210"/>
      <c r="E25" s="210"/>
      <c r="F25" s="203">
        <f>'NOTER 2022'!R33</f>
        <v>132271.87</v>
      </c>
      <c r="G25" s="203">
        <f>'NOTER 2022'!R33</f>
        <v>132271.87</v>
      </c>
      <c r="H25" s="14">
        <v>87749</v>
      </c>
      <c r="I25" s="149">
        <v>38734</v>
      </c>
      <c r="J25" s="149">
        <v>38734</v>
      </c>
      <c r="K25" s="95"/>
      <c r="L25" s="14"/>
      <c r="M25" s="14"/>
    </row>
    <row r="26" spans="2:26" x14ac:dyDescent="0.25">
      <c r="B26" s="14" t="s">
        <v>195</v>
      </c>
      <c r="C26" s="49"/>
      <c r="D26" s="49"/>
      <c r="F26" s="14">
        <f>G26+G27</f>
        <v>-57154.074000000001</v>
      </c>
      <c r="G26" s="14">
        <f>H26+H27</f>
        <v>-43312</v>
      </c>
      <c r="H26" s="14">
        <v>-38374</v>
      </c>
      <c r="I26" s="149">
        <v>-38734</v>
      </c>
      <c r="J26" s="149">
        <v>-38734</v>
      </c>
      <c r="K26" s="95"/>
      <c r="L26" s="14"/>
      <c r="M26" s="14"/>
    </row>
    <row r="27" spans="2:26" x14ac:dyDescent="0.25">
      <c r="B27" s="14" t="s">
        <v>196</v>
      </c>
      <c r="C27" s="49"/>
      <c r="D27" s="49"/>
      <c r="F27" s="14">
        <f>-'NOTER 2022'!V33</f>
        <v>-13842.074000000001</v>
      </c>
      <c r="G27" s="14">
        <f>-'NOTER 2022'!V33</f>
        <v>-13842.074000000001</v>
      </c>
      <c r="H27" s="14">
        <v>-4938</v>
      </c>
      <c r="I27" s="149">
        <v>0</v>
      </c>
      <c r="J27" s="149">
        <v>0</v>
      </c>
      <c r="K27" s="95"/>
      <c r="L27" s="14"/>
      <c r="M27" s="14"/>
    </row>
    <row r="28" spans="2:26" ht="16.5" thickBot="1" x14ac:dyDescent="0.3">
      <c r="B28" s="116" t="s">
        <v>197</v>
      </c>
      <c r="C28" s="95"/>
      <c r="D28" s="95"/>
      <c r="F28" s="119">
        <f>SUM(F25:F27)</f>
        <v>61275.722000000002</v>
      </c>
      <c r="G28" s="119">
        <f>SUM(G25:G27)</f>
        <v>75117.796000000002</v>
      </c>
      <c r="H28" s="119">
        <f>SUM(H25:H27)</f>
        <v>44437</v>
      </c>
      <c r="I28" s="119">
        <f>SUM(I25:I27)</f>
        <v>0</v>
      </c>
      <c r="J28" s="119">
        <f>SUM(J25:J27)</f>
        <v>0</v>
      </c>
      <c r="K28" s="95"/>
      <c r="L28" s="14"/>
      <c r="M28" s="14"/>
    </row>
    <row r="29" spans="2:26" ht="16.5" thickTop="1" x14ac:dyDescent="0.25">
      <c r="B29" s="116"/>
      <c r="C29" s="95"/>
      <c r="D29" s="95"/>
      <c r="E29" s="147"/>
      <c r="F29" s="147"/>
      <c r="G29" s="147"/>
      <c r="H29" s="147"/>
      <c r="I29" s="113"/>
      <c r="J29" s="113"/>
      <c r="K29" s="95"/>
      <c r="L29" s="14"/>
      <c r="M29" s="14"/>
    </row>
    <row r="30" spans="2:26" x14ac:dyDescent="0.25">
      <c r="B30" s="18" t="s">
        <v>170</v>
      </c>
      <c r="K30" s="95"/>
      <c r="L30" s="14"/>
      <c r="M30" s="14"/>
    </row>
    <row r="31" spans="2:26" x14ac:dyDescent="0.25">
      <c r="B31" s="209" t="s">
        <v>171</v>
      </c>
      <c r="C31" s="210"/>
      <c r="D31" s="210"/>
      <c r="E31" s="210"/>
      <c r="F31" s="177">
        <v>50686.29</v>
      </c>
      <c r="G31" s="177">
        <v>30858</v>
      </c>
      <c r="H31" s="70">
        <v>92466</v>
      </c>
      <c r="I31" s="70">
        <v>105285.97</v>
      </c>
      <c r="J31" s="14">
        <v>57039</v>
      </c>
      <c r="K31" s="95"/>
      <c r="L31" s="14"/>
      <c r="M31" s="14"/>
    </row>
    <row r="32" spans="2:26" x14ac:dyDescent="0.25">
      <c r="B32" s="209" t="s">
        <v>172</v>
      </c>
      <c r="C32" s="210"/>
      <c r="D32" s="210"/>
      <c r="E32" s="210"/>
      <c r="F32" s="95"/>
      <c r="G32" s="95"/>
      <c r="H32" s="126">
        <v>0</v>
      </c>
      <c r="I32" s="126">
        <v>0</v>
      </c>
      <c r="J32" s="126">
        <v>7213.47</v>
      </c>
      <c r="K32" s="95"/>
      <c r="L32" s="14"/>
      <c r="M32" s="14"/>
    </row>
    <row r="33" spans="2:20" ht="16.5" thickBot="1" x14ac:dyDescent="0.3">
      <c r="B33" s="116" t="s">
        <v>173</v>
      </c>
      <c r="C33" s="95"/>
      <c r="D33" s="95"/>
      <c r="F33" s="119">
        <f>SUM(F31:F32)</f>
        <v>50686.29</v>
      </c>
      <c r="G33" s="119">
        <f>SUM(G31:G32)</f>
        <v>30858</v>
      </c>
      <c r="H33" s="119">
        <f>SUM(H31:H32)</f>
        <v>92466</v>
      </c>
      <c r="I33" s="119">
        <f>SUM(I31:I32)</f>
        <v>105285.97</v>
      </c>
      <c r="J33" s="119">
        <f>SUM(J31:J32)</f>
        <v>64252.47</v>
      </c>
      <c r="K33" s="95"/>
      <c r="L33" s="14"/>
      <c r="M33" s="14"/>
    </row>
    <row r="34" spans="2:20" ht="16.5" thickTop="1" x14ac:dyDescent="0.25">
      <c r="B34" s="116"/>
      <c r="C34" s="95"/>
      <c r="D34" s="95"/>
      <c r="E34" s="113"/>
      <c r="F34" s="113"/>
      <c r="G34" s="113"/>
      <c r="H34" s="113"/>
      <c r="I34" s="113"/>
      <c r="J34" s="113"/>
      <c r="K34" s="95"/>
      <c r="L34" s="14"/>
      <c r="M34" s="14"/>
    </row>
    <row r="35" spans="2:20" x14ac:dyDescent="0.25">
      <c r="B35" s="46" t="s">
        <v>165</v>
      </c>
      <c r="P35" s="58" t="s">
        <v>90</v>
      </c>
      <c r="Q35" s="88"/>
      <c r="R35" s="59" t="s">
        <v>91</v>
      </c>
      <c r="S35" s="89" t="s">
        <v>92</v>
      </c>
    </row>
    <row r="36" spans="2:20" x14ac:dyDescent="0.25">
      <c r="B36" s="49" t="s">
        <v>97</v>
      </c>
      <c r="P36" s="58"/>
      <c r="Q36" s="88"/>
      <c r="R36" s="59"/>
      <c r="S36" s="89"/>
    </row>
    <row r="37" spans="2:20" x14ac:dyDescent="0.25">
      <c r="B37" s="49" t="s">
        <v>166</v>
      </c>
      <c r="F37" s="114">
        <v>3421</v>
      </c>
      <c r="G37" s="114">
        <v>3421</v>
      </c>
      <c r="H37" s="114">
        <v>3421</v>
      </c>
      <c r="I37" s="114">
        <v>3421</v>
      </c>
      <c r="J37" s="114">
        <v>3421</v>
      </c>
      <c r="P37" s="58"/>
      <c r="Q37" s="88"/>
      <c r="R37" s="59"/>
      <c r="S37" s="89"/>
    </row>
    <row r="38" spans="2:20" x14ac:dyDescent="0.25">
      <c r="B38" s="49" t="s">
        <v>167</v>
      </c>
      <c r="F38" s="114">
        <v>2041</v>
      </c>
      <c r="G38" s="114">
        <v>2041</v>
      </c>
      <c r="H38" s="114">
        <v>2041</v>
      </c>
      <c r="I38" s="114">
        <v>2041</v>
      </c>
      <c r="J38" s="114">
        <v>2041</v>
      </c>
      <c r="P38" s="58"/>
      <c r="Q38" s="88"/>
      <c r="R38" s="59"/>
      <c r="S38" s="89"/>
    </row>
    <row r="39" spans="2:20" x14ac:dyDescent="0.25">
      <c r="B39" s="49" t="s">
        <v>236</v>
      </c>
      <c r="F39" s="114">
        <v>0</v>
      </c>
      <c r="G39" s="114">
        <v>2041</v>
      </c>
      <c r="H39" s="114">
        <v>2041</v>
      </c>
      <c r="I39" s="114">
        <v>2041</v>
      </c>
      <c r="J39" s="114">
        <v>2041</v>
      </c>
      <c r="P39" s="58"/>
      <c r="Q39" s="88"/>
      <c r="R39" s="59"/>
      <c r="S39" s="89"/>
    </row>
    <row r="40" spans="2:20" x14ac:dyDescent="0.25">
      <c r="B40" s="49" t="s">
        <v>182</v>
      </c>
      <c r="F40" s="114">
        <v>2041</v>
      </c>
      <c r="G40" s="114">
        <v>2041</v>
      </c>
      <c r="H40" s="114">
        <v>2041</v>
      </c>
      <c r="I40" s="114">
        <v>2041</v>
      </c>
      <c r="J40" s="114">
        <v>2041</v>
      </c>
      <c r="P40" s="58"/>
      <c r="Q40" s="88"/>
      <c r="R40" s="59"/>
      <c r="S40" s="89"/>
    </row>
    <row r="41" spans="2:20" x14ac:dyDescent="0.25">
      <c r="B41" s="49" t="s">
        <v>168</v>
      </c>
      <c r="F41" s="114">
        <v>0</v>
      </c>
      <c r="G41" s="114">
        <v>0</v>
      </c>
      <c r="H41" s="114">
        <v>0</v>
      </c>
      <c r="I41" s="114">
        <v>2041</v>
      </c>
      <c r="J41" s="114">
        <v>2041</v>
      </c>
      <c r="P41" s="58"/>
      <c r="Q41" s="88"/>
      <c r="R41" s="59"/>
      <c r="S41" s="89"/>
    </row>
    <row r="42" spans="2:20" ht="16.5" thickBot="1" x14ac:dyDescent="0.3">
      <c r="B42" s="49" t="s">
        <v>169</v>
      </c>
      <c r="C42" s="49"/>
      <c r="D42" s="49"/>
      <c r="F42" s="120">
        <f>SUM(F37:F41)</f>
        <v>7503</v>
      </c>
      <c r="G42" s="120">
        <f>SUM(G37:G41)</f>
        <v>9544</v>
      </c>
      <c r="H42" s="120">
        <f>SUM(H37:H41)</f>
        <v>9544</v>
      </c>
      <c r="I42" s="120">
        <f>SUM(I37:I41)</f>
        <v>11585</v>
      </c>
      <c r="J42" s="120">
        <f>SUM(J37:J41)</f>
        <v>11585</v>
      </c>
      <c r="K42" s="70">
        <v>11585</v>
      </c>
      <c r="L42" s="14">
        <v>11585</v>
      </c>
      <c r="M42" s="14">
        <v>11585</v>
      </c>
      <c r="P42" s="90" t="s">
        <v>93</v>
      </c>
      <c r="Q42" s="90"/>
      <c r="R42" s="90">
        <v>20</v>
      </c>
      <c r="S42" s="92">
        <f>1/R42</f>
        <v>0.05</v>
      </c>
    </row>
    <row r="43" spans="2:20" ht="16.5" thickTop="1" x14ac:dyDescent="0.25">
      <c r="B43" s="49"/>
      <c r="C43" s="49"/>
      <c r="D43" s="49"/>
      <c r="F43" s="70"/>
      <c r="G43" s="70"/>
      <c r="H43" s="70"/>
      <c r="I43" s="70"/>
      <c r="J43" s="70"/>
      <c r="K43" s="70"/>
      <c r="L43" s="14"/>
      <c r="M43" s="14"/>
      <c r="P43" s="97"/>
      <c r="Q43" s="98"/>
      <c r="R43" s="90"/>
      <c r="S43" s="92"/>
    </row>
    <row r="44" spans="2:20" x14ac:dyDescent="0.25">
      <c r="B44" s="46" t="s">
        <v>95</v>
      </c>
      <c r="C44" s="49"/>
      <c r="D44" s="49"/>
      <c r="F44" s="195"/>
      <c r="G44" s="70"/>
      <c r="H44" s="70"/>
      <c r="I44" s="70"/>
      <c r="J44" s="70"/>
      <c r="K44" s="70"/>
      <c r="L44" s="14"/>
      <c r="M44" s="14"/>
      <c r="P44" s="97"/>
      <c r="Q44" s="98"/>
      <c r="R44" s="90"/>
      <c r="S44" s="92"/>
    </row>
    <row r="45" spans="2:20" x14ac:dyDescent="0.25">
      <c r="B45" s="49" t="s">
        <v>227</v>
      </c>
      <c r="C45" s="49"/>
      <c r="D45" s="49"/>
      <c r="F45" s="196">
        <v>3198</v>
      </c>
      <c r="G45" s="198">
        <v>4042</v>
      </c>
      <c r="H45" s="199">
        <v>5393</v>
      </c>
      <c r="I45" s="70">
        <v>1639</v>
      </c>
      <c r="J45" s="70">
        <v>1722</v>
      </c>
      <c r="K45" s="70">
        <v>6723</v>
      </c>
      <c r="L45" s="14">
        <f>1302+4874+4806</f>
        <v>10982</v>
      </c>
      <c r="M45" s="14">
        <f>13480-3073</f>
        <v>10407</v>
      </c>
      <c r="P45" s="97" t="s">
        <v>128</v>
      </c>
      <c r="Q45" s="98"/>
      <c r="R45" s="99">
        <v>25</v>
      </c>
      <c r="S45" s="92">
        <v>0.04</v>
      </c>
      <c r="T45" t="s">
        <v>129</v>
      </c>
    </row>
    <row r="46" spans="2:20" x14ac:dyDescent="0.25">
      <c r="B46" s="49" t="s">
        <v>226</v>
      </c>
      <c r="C46" s="49"/>
      <c r="D46" s="49"/>
      <c r="F46" s="196">
        <v>6518</v>
      </c>
      <c r="G46" s="198">
        <v>6704</v>
      </c>
      <c r="H46" s="199">
        <v>1761</v>
      </c>
      <c r="I46" s="70">
        <v>5321</v>
      </c>
      <c r="J46" s="70">
        <v>5378</v>
      </c>
      <c r="K46" s="70"/>
      <c r="L46" s="14"/>
      <c r="M46" s="14"/>
      <c r="P46" s="97"/>
      <c r="Q46" s="98"/>
      <c r="R46" s="99"/>
      <c r="S46" s="92"/>
    </row>
    <row r="47" spans="2:20" x14ac:dyDescent="0.25">
      <c r="B47" s="49" t="s">
        <v>138</v>
      </c>
      <c r="C47" s="49"/>
      <c r="D47" s="49"/>
      <c r="F47" s="196">
        <f>7295+112</f>
        <v>7407</v>
      </c>
      <c r="G47" s="196">
        <f>7145+77</f>
        <v>7222</v>
      </c>
      <c r="H47" s="199">
        <v>6959</v>
      </c>
      <c r="I47" s="70">
        <v>6757</v>
      </c>
      <c r="J47" s="70">
        <v>3320</v>
      </c>
      <c r="K47" s="70">
        <v>3206</v>
      </c>
      <c r="L47" s="14">
        <v>3138</v>
      </c>
      <c r="M47" s="14">
        <v>3073</v>
      </c>
      <c r="P47" s="90" t="s">
        <v>96</v>
      </c>
      <c r="Q47" s="90"/>
      <c r="R47" s="90">
        <v>50</v>
      </c>
      <c r="S47" s="92">
        <f>1/R47</f>
        <v>0.02</v>
      </c>
    </row>
    <row r="48" spans="2:20" x14ac:dyDescent="0.25">
      <c r="B48" s="49" t="s">
        <v>224</v>
      </c>
      <c r="C48" s="49"/>
      <c r="D48" s="49"/>
      <c r="F48" s="196"/>
      <c r="G48" s="196">
        <v>2037.5</v>
      </c>
      <c r="H48" s="200"/>
      <c r="I48" s="64"/>
      <c r="J48" s="70"/>
      <c r="K48" s="64"/>
      <c r="L48" s="14">
        <v>1125</v>
      </c>
      <c r="M48" s="14"/>
      <c r="P48" s="90" t="s">
        <v>96</v>
      </c>
      <c r="Q48" s="90"/>
      <c r="R48" s="90">
        <v>100</v>
      </c>
      <c r="S48" s="92">
        <f>1/R48</f>
        <v>0.01</v>
      </c>
    </row>
    <row r="49" spans="2:19" x14ac:dyDescent="0.25">
      <c r="B49" s="49"/>
      <c r="C49" s="49"/>
      <c r="D49" s="49"/>
      <c r="F49" s="197"/>
      <c r="G49" s="201"/>
      <c r="H49" s="200"/>
      <c r="I49" s="64"/>
      <c r="J49" s="64"/>
      <c r="K49" s="64"/>
      <c r="L49" s="14">
        <v>3200</v>
      </c>
      <c r="M49" s="14"/>
      <c r="P49" s="90" t="s">
        <v>96</v>
      </c>
      <c r="Q49" s="90"/>
      <c r="R49" s="90">
        <v>200</v>
      </c>
      <c r="S49" s="92">
        <f>1/R49</f>
        <v>5.0000000000000001E-3</v>
      </c>
    </row>
    <row r="50" spans="2:19" ht="16.5" thickBot="1" x14ac:dyDescent="0.3">
      <c r="B50" s="49" t="s">
        <v>198</v>
      </c>
      <c r="F50" s="118">
        <f>SUM(F45:F49)</f>
        <v>17123</v>
      </c>
      <c r="G50" s="118">
        <f>SUM(G45:G49)</f>
        <v>20005.5</v>
      </c>
      <c r="H50" s="118">
        <f>SUM(H45:H49)</f>
        <v>14113</v>
      </c>
      <c r="I50" s="118">
        <f>SUM(I45:I49)</f>
        <v>13717</v>
      </c>
      <c r="J50" s="118">
        <f>SUM(J45:J49)</f>
        <v>10420</v>
      </c>
      <c r="K50" s="101">
        <f>SUM(K42:K49)</f>
        <v>21514</v>
      </c>
      <c r="L50" s="101">
        <f>SUM(L42:L49)</f>
        <v>30030</v>
      </c>
      <c r="M50" s="101">
        <f>SUM(M42:M49)</f>
        <v>25065</v>
      </c>
      <c r="S50" s="100"/>
    </row>
    <row r="51" spans="2:19" ht="16.5" thickTop="1" x14ac:dyDescent="0.25"/>
    <row r="52" spans="2:19" x14ac:dyDescent="0.25">
      <c r="B52" s="8" t="s">
        <v>174</v>
      </c>
    </row>
    <row r="53" spans="2:19" x14ac:dyDescent="0.25">
      <c r="B53" s="117" t="s">
        <v>38</v>
      </c>
      <c r="L53" s="87"/>
      <c r="M53" s="87"/>
    </row>
    <row r="54" spans="2:19" x14ac:dyDescent="0.25">
      <c r="B54" s="49" t="s">
        <v>175</v>
      </c>
      <c r="C54" s="49"/>
      <c r="D54" s="49"/>
      <c r="F54" s="194">
        <v>10080000</v>
      </c>
      <c r="G54" s="194">
        <v>10080000</v>
      </c>
      <c r="H54" s="194">
        <v>10080000</v>
      </c>
      <c r="I54" s="194">
        <v>10080000</v>
      </c>
      <c r="J54" s="194">
        <v>10080000</v>
      </c>
      <c r="K54" s="14">
        <v>10080000</v>
      </c>
      <c r="L54" s="14">
        <v>10080000</v>
      </c>
      <c r="M54" s="14">
        <v>10080000</v>
      </c>
    </row>
    <row r="55" spans="2:19" x14ac:dyDescent="0.25">
      <c r="B55" t="s">
        <v>177</v>
      </c>
      <c r="F55" s="145">
        <f>G55+G56-1</f>
        <v>-260916.1</v>
      </c>
      <c r="G55" s="145">
        <f>H55+H56</f>
        <v>-163677.53</v>
      </c>
      <c r="H55" s="145">
        <f>I55+I56</f>
        <v>-136522.03</v>
      </c>
      <c r="I55" s="145">
        <f>J55+J56</f>
        <v>-113840.53</v>
      </c>
      <c r="J55" s="114">
        <v>-86381.9</v>
      </c>
    </row>
    <row r="56" spans="2:19" x14ac:dyDescent="0.25">
      <c r="B56" t="s">
        <v>176</v>
      </c>
      <c r="F56" s="193">
        <v>-49508.45</v>
      </c>
      <c r="G56" s="193">
        <v>-97237.57</v>
      </c>
      <c r="H56" s="145">
        <v>-27155.5</v>
      </c>
      <c r="I56" s="145">
        <v>-22681.5</v>
      </c>
      <c r="J56" s="114">
        <v>-27458.63</v>
      </c>
    </row>
    <row r="57" spans="2:19" ht="16.5" thickBot="1" x14ac:dyDescent="0.3">
      <c r="B57" s="8" t="s">
        <v>178</v>
      </c>
      <c r="F57" s="146">
        <f>SUM(F54:F56)</f>
        <v>9769575.4500000011</v>
      </c>
      <c r="G57" s="146">
        <f>SUM(G54:G56)</f>
        <v>9819084.9000000004</v>
      </c>
      <c r="H57" s="146">
        <f>SUM(H54:H56)</f>
        <v>9916322.4700000007</v>
      </c>
      <c r="I57" s="146">
        <f>SUM(I54:I56)</f>
        <v>9943477.9700000007</v>
      </c>
      <c r="J57" s="146">
        <f>SUM(J54:J56)</f>
        <v>9966159.4699999988</v>
      </c>
    </row>
    <row r="58" spans="2:19" ht="16.5" thickTop="1" x14ac:dyDescent="0.25"/>
  </sheetData>
  <mergeCells count="6">
    <mergeCell ref="B3:M3"/>
    <mergeCell ref="U5:U6"/>
    <mergeCell ref="B20:E20"/>
    <mergeCell ref="B31:E31"/>
    <mergeCell ref="B32:E32"/>
    <mergeCell ref="B25:E25"/>
  </mergeCells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51"/>
  <sheetViews>
    <sheetView tabSelected="1" topLeftCell="S1" workbookViewId="0">
      <selection activeCell="T22" sqref="T22"/>
    </sheetView>
  </sheetViews>
  <sheetFormatPr defaultRowHeight="15" x14ac:dyDescent="0.25"/>
  <cols>
    <col min="1" max="1" width="10.7109375" hidden="1" customWidth="1"/>
    <col min="2" max="3" width="13" hidden="1" customWidth="1"/>
    <col min="4" max="4" width="6.5703125" hidden="1" customWidth="1"/>
    <col min="5" max="5" width="0" hidden="1" customWidth="1"/>
    <col min="6" max="6" width="9.28515625" hidden="1" customWidth="1"/>
    <col min="7" max="7" width="9.140625" hidden="1" customWidth="1"/>
    <col min="8" max="8" width="8.5703125" hidden="1" customWidth="1"/>
    <col min="9" max="9" width="10.7109375" hidden="1" customWidth="1"/>
    <col min="10" max="10" width="9.5703125" hidden="1" customWidth="1"/>
    <col min="11" max="18" width="0" hidden="1" customWidth="1"/>
    <col min="19" max="19" width="44.85546875" customWidth="1"/>
    <col min="20" max="20" width="11.5703125" style="165" customWidth="1"/>
    <col min="21" max="21" width="2.140625" customWidth="1"/>
    <col min="22" max="22" width="11.5703125" style="165" customWidth="1"/>
    <col min="23" max="23" width="2.42578125" customWidth="1"/>
    <col min="24" max="24" width="11.5703125" style="165" hidden="1" customWidth="1"/>
    <col min="25" max="25" width="2.5703125" hidden="1" customWidth="1"/>
    <col min="26" max="26" width="11.5703125" style="165" customWidth="1"/>
    <col min="27" max="27" width="2.28515625" customWidth="1"/>
    <col min="28" max="28" width="11.5703125" hidden="1" customWidth="1"/>
    <col min="29" max="29" width="2.7109375" hidden="1" customWidth="1"/>
    <col min="30" max="30" width="9.7109375" customWidth="1"/>
    <col min="31" max="31" width="2.42578125" customWidth="1"/>
    <col min="32" max="32" width="9.7109375" customWidth="1"/>
    <col min="33" max="33" width="2.5703125" customWidth="1"/>
    <col min="34" max="34" width="9.7109375" customWidth="1"/>
    <col min="35" max="35" width="2.7109375" customWidth="1"/>
    <col min="36" max="36" width="9.7109375" customWidth="1"/>
    <col min="37" max="37" width="2.42578125" customWidth="1"/>
    <col min="38" max="38" width="9.7109375" customWidth="1"/>
    <col min="39" max="39" width="4.85546875" hidden="1" customWidth="1"/>
    <col min="40" max="40" width="8.85546875" hidden="1" customWidth="1"/>
    <col min="41" max="41" width="5.28515625" hidden="1" customWidth="1"/>
    <col min="42" max="42" width="8.85546875" hidden="1" customWidth="1"/>
  </cols>
  <sheetData>
    <row r="1" spans="1:42" ht="21" x14ac:dyDescent="0.35">
      <c r="S1" s="1" t="s">
        <v>237</v>
      </c>
      <c r="T1" s="158"/>
      <c r="U1" s="1"/>
      <c r="V1" s="137"/>
      <c r="W1" s="1"/>
      <c r="X1" s="158"/>
      <c r="Y1" s="1"/>
      <c r="Z1" s="137"/>
      <c r="AA1" s="1"/>
      <c r="AB1" s="1"/>
      <c r="AC1" s="1"/>
      <c r="AD1" s="32"/>
      <c r="AE1" s="1"/>
      <c r="AF1" s="32"/>
      <c r="AG1" s="1"/>
      <c r="AH1" s="32"/>
      <c r="AI1" s="1"/>
      <c r="AJ1" s="32"/>
    </row>
    <row r="2" spans="1:42" ht="18.75" x14ac:dyDescent="0.3">
      <c r="S2" s="3" t="s">
        <v>151</v>
      </c>
      <c r="T2" s="159"/>
      <c r="U2" s="3"/>
      <c r="V2" s="135"/>
      <c r="W2" s="3"/>
      <c r="X2" s="159"/>
      <c r="Y2" s="3"/>
      <c r="Z2" s="135"/>
      <c r="AA2" s="3"/>
      <c r="AB2" s="3"/>
      <c r="AC2" s="3"/>
      <c r="AD2" s="35"/>
      <c r="AE2" s="3"/>
      <c r="AF2" s="35"/>
      <c r="AG2" s="3"/>
      <c r="AH2" s="35"/>
      <c r="AI2" s="3"/>
      <c r="AJ2" s="35"/>
    </row>
    <row r="3" spans="1:42" ht="16.5" thickBot="1" x14ac:dyDescent="0.3">
      <c r="A3" s="206"/>
      <c r="B3" s="206"/>
      <c r="C3" s="206"/>
      <c r="S3" s="4" t="s">
        <v>150</v>
      </c>
      <c r="T3" s="160"/>
      <c r="U3" s="4"/>
      <c r="V3" s="135"/>
      <c r="W3" s="4"/>
      <c r="X3" s="160"/>
      <c r="Y3" s="4"/>
      <c r="Z3" s="135"/>
      <c r="AA3" s="4"/>
      <c r="AB3" s="4"/>
      <c r="AC3" s="4"/>
      <c r="AD3" s="35"/>
      <c r="AE3" s="4"/>
      <c r="AF3" s="35"/>
      <c r="AG3" s="4"/>
      <c r="AH3" s="35"/>
      <c r="AI3" s="4"/>
      <c r="AJ3" s="35"/>
    </row>
    <row r="4" spans="1:42" ht="15.6" customHeight="1" x14ac:dyDescent="0.25">
      <c r="A4" s="14"/>
      <c r="B4" s="14"/>
      <c r="C4" s="14"/>
      <c r="F4" s="50" t="s">
        <v>62</v>
      </c>
      <c r="G4" s="51"/>
      <c r="H4" s="52" t="s">
        <v>69</v>
      </c>
      <c r="I4" s="53"/>
      <c r="J4" s="53"/>
      <c r="K4" s="207" t="s">
        <v>70</v>
      </c>
      <c r="M4" s="73" t="s">
        <v>80</v>
      </c>
      <c r="N4" s="74"/>
      <c r="O4" s="74"/>
      <c r="P4" s="74"/>
      <c r="Q4" s="75"/>
      <c r="S4" s="2"/>
      <c r="T4" s="161"/>
      <c r="U4" s="2"/>
      <c r="V4" s="135"/>
      <c r="W4" s="2"/>
      <c r="X4" s="161"/>
      <c r="Y4" s="2"/>
      <c r="Z4" s="135"/>
      <c r="AA4" s="2"/>
      <c r="AB4" s="2"/>
      <c r="AC4" s="2"/>
      <c r="AD4" s="35"/>
      <c r="AE4" s="2"/>
      <c r="AF4" s="35"/>
      <c r="AG4" s="2"/>
      <c r="AH4" s="35"/>
      <c r="AI4" s="2"/>
      <c r="AJ4" s="35"/>
    </row>
    <row r="5" spans="1:42" ht="18.75" x14ac:dyDescent="0.3">
      <c r="A5" s="14">
        <v>8536709</v>
      </c>
      <c r="B5" s="14">
        <v>8536709</v>
      </c>
      <c r="C5" s="14">
        <v>8536709</v>
      </c>
      <c r="F5" s="56"/>
      <c r="G5" s="57"/>
      <c r="H5" s="58" t="s">
        <v>73</v>
      </c>
      <c r="I5" s="59" t="s">
        <v>74</v>
      </c>
      <c r="J5" s="59" t="s">
        <v>75</v>
      </c>
      <c r="K5" s="211"/>
      <c r="M5" s="76" t="s">
        <v>81</v>
      </c>
      <c r="N5" s="77"/>
      <c r="O5" s="78"/>
      <c r="S5" s="7" t="s">
        <v>6</v>
      </c>
      <c r="T5" s="162"/>
      <c r="U5" s="7"/>
      <c r="V5" s="137"/>
      <c r="W5" s="7"/>
      <c r="X5" s="162"/>
      <c r="Y5" s="7"/>
      <c r="Z5" s="137"/>
      <c r="AA5" s="7"/>
      <c r="AB5" s="7"/>
      <c r="AC5" s="7"/>
      <c r="AD5" s="32"/>
      <c r="AE5" s="7"/>
      <c r="AF5" s="32"/>
      <c r="AG5" s="7"/>
      <c r="AH5" s="32"/>
      <c r="AI5" s="7"/>
      <c r="AJ5" s="32"/>
    </row>
    <row r="6" spans="1:42" ht="15.75" x14ac:dyDescent="0.25">
      <c r="A6" s="14">
        <v>60681</v>
      </c>
      <c r="B6" s="14">
        <v>60681</v>
      </c>
      <c r="C6" s="14">
        <v>60681</v>
      </c>
      <c r="D6" s="14"/>
      <c r="F6" s="60" t="s">
        <v>77</v>
      </c>
      <c r="G6" s="61"/>
      <c r="H6" s="62">
        <v>5</v>
      </c>
      <c r="I6" s="62">
        <v>403334</v>
      </c>
      <c r="J6" s="62">
        <f>+H6*I6</f>
        <v>2016670</v>
      </c>
      <c r="K6" s="63"/>
      <c r="M6" s="79" t="s">
        <v>83</v>
      </c>
      <c r="N6" s="80" t="s">
        <v>84</v>
      </c>
      <c r="O6" s="80" t="s">
        <v>85</v>
      </c>
      <c r="S6" s="9" t="s">
        <v>8</v>
      </c>
      <c r="T6" s="178" t="s">
        <v>238</v>
      </c>
      <c r="U6" s="23"/>
      <c r="V6" s="130" t="s">
        <v>228</v>
      </c>
      <c r="W6" s="23"/>
      <c r="X6" s="178" t="s">
        <v>209</v>
      </c>
      <c r="Y6" s="23"/>
      <c r="Z6" s="130" t="s">
        <v>210</v>
      </c>
      <c r="AA6" s="23"/>
      <c r="AB6" s="9" t="s">
        <v>199</v>
      </c>
      <c r="AC6" s="23"/>
      <c r="AD6" s="130" t="s">
        <v>186</v>
      </c>
      <c r="AE6" s="23"/>
      <c r="AF6" s="10" t="s">
        <v>179</v>
      </c>
      <c r="AG6" s="23"/>
      <c r="AH6" s="10" t="s">
        <v>148</v>
      </c>
      <c r="AI6" s="23"/>
      <c r="AJ6" s="10" t="s">
        <v>141</v>
      </c>
      <c r="AK6" s="23"/>
      <c r="AL6" s="10" t="s">
        <v>133</v>
      </c>
      <c r="AM6" s="9"/>
      <c r="AN6" s="10" t="s">
        <v>119</v>
      </c>
      <c r="AO6" s="10"/>
      <c r="AP6" s="10" t="s">
        <v>61</v>
      </c>
    </row>
    <row r="7" spans="1:42" ht="16.5" thickBot="1" x14ac:dyDescent="0.3">
      <c r="A7" s="14">
        <v>367500</v>
      </c>
      <c r="B7" s="14">
        <v>367500</v>
      </c>
      <c r="C7" s="14">
        <v>367500</v>
      </c>
      <c r="D7" s="64"/>
      <c r="F7" s="65" t="s">
        <v>78</v>
      </c>
      <c r="G7" s="66"/>
      <c r="H7" s="67">
        <v>5</v>
      </c>
      <c r="I7" s="67">
        <v>605</v>
      </c>
      <c r="J7" s="68">
        <f>+I7*H7</f>
        <v>3025</v>
      </c>
      <c r="K7" s="69">
        <f>+C9*0.0015</f>
        <v>7128</v>
      </c>
      <c r="M7" s="83">
        <f>-(P14*C6+P15*C5)</f>
        <v>-173768.22999999998</v>
      </c>
      <c r="N7" s="84">
        <f>-(P14*C6+P16*C5)</f>
        <v>-88401.14</v>
      </c>
      <c r="O7" s="84">
        <f>-(P14*C6+P17*C5)</f>
        <v>-45717.595000000001</v>
      </c>
      <c r="S7" s="2" t="s">
        <v>11</v>
      </c>
      <c r="T7" s="123">
        <v>139020</v>
      </c>
      <c r="U7" s="25"/>
      <c r="V7" s="104">
        <v>139020</v>
      </c>
      <c r="W7" s="25"/>
      <c r="X7" s="123">
        <v>139020</v>
      </c>
      <c r="Y7" s="25"/>
      <c r="Z7" s="104">
        <v>139020</v>
      </c>
      <c r="AA7" s="25"/>
      <c r="AB7" s="121">
        <v>139020</v>
      </c>
      <c r="AC7" s="25"/>
      <c r="AD7" s="104">
        <v>139020</v>
      </c>
      <c r="AE7" s="25"/>
      <c r="AF7" s="35">
        <v>139020</v>
      </c>
      <c r="AG7" s="25"/>
      <c r="AH7" s="35">
        <v>139020</v>
      </c>
      <c r="AI7" s="25"/>
      <c r="AJ7" s="35">
        <v>139020</v>
      </c>
      <c r="AK7" s="25"/>
      <c r="AL7" s="35">
        <v>139020</v>
      </c>
      <c r="AM7" s="2"/>
      <c r="AN7" s="35">
        <v>139020</v>
      </c>
      <c r="AO7" s="28"/>
      <c r="AP7" s="35">
        <v>139020</v>
      </c>
    </row>
    <row r="8" spans="1:42" ht="15.75" x14ac:dyDescent="0.25">
      <c r="D8" s="14"/>
      <c r="S8" s="16" t="s">
        <v>15</v>
      </c>
      <c r="T8" s="130">
        <v>139020</v>
      </c>
      <c r="U8" s="23"/>
      <c r="V8" s="127">
        <v>139020</v>
      </c>
      <c r="W8" s="23"/>
      <c r="X8" s="130">
        <v>139020</v>
      </c>
      <c r="Y8" s="23"/>
      <c r="Z8" s="127">
        <v>139020</v>
      </c>
      <c r="AA8" s="23"/>
      <c r="AB8" s="10">
        <v>139020</v>
      </c>
      <c r="AC8" s="23"/>
      <c r="AD8" s="127">
        <v>139020</v>
      </c>
      <c r="AE8" s="23"/>
      <c r="AF8" s="33">
        <v>139020</v>
      </c>
      <c r="AG8" s="23"/>
      <c r="AH8" s="33">
        <v>139020</v>
      </c>
      <c r="AI8" s="23"/>
      <c r="AJ8" s="33">
        <v>139020</v>
      </c>
      <c r="AK8" s="23"/>
      <c r="AL8" s="33">
        <v>139020</v>
      </c>
      <c r="AM8" s="16"/>
      <c r="AN8" s="33">
        <v>139020</v>
      </c>
      <c r="AO8" s="29"/>
      <c r="AP8" s="16">
        <f>SUM(AP7:AP7)</f>
        <v>139020</v>
      </c>
    </row>
    <row r="9" spans="1:42" ht="15.75" hidden="1" x14ac:dyDescent="0.25">
      <c r="A9" s="14">
        <v>4752000</v>
      </c>
      <c r="B9" s="14">
        <v>4752000</v>
      </c>
      <c r="C9" s="14">
        <v>4752000</v>
      </c>
      <c r="D9" s="28"/>
      <c r="S9" s="23"/>
      <c r="T9" s="179"/>
      <c r="U9" s="23"/>
      <c r="V9" s="128"/>
      <c r="W9" s="23"/>
      <c r="X9" s="179"/>
      <c r="Y9" s="23"/>
      <c r="Z9" s="128"/>
      <c r="AA9" s="23"/>
      <c r="AB9" s="122"/>
      <c r="AC9" s="23"/>
      <c r="AD9" s="136"/>
      <c r="AE9" s="23"/>
      <c r="AF9" s="36"/>
      <c r="AG9" s="23"/>
      <c r="AH9" s="36"/>
      <c r="AI9" s="23"/>
      <c r="AJ9" s="36"/>
      <c r="AK9" s="23"/>
      <c r="AL9" s="36"/>
      <c r="AM9" s="23"/>
      <c r="AN9" s="36"/>
      <c r="AO9" s="30"/>
      <c r="AP9" s="23"/>
    </row>
    <row r="10" spans="1:42" ht="15.75" hidden="1" x14ac:dyDescent="0.25">
      <c r="A10" s="14">
        <v>4027000</v>
      </c>
      <c r="B10" s="14">
        <v>4027000</v>
      </c>
      <c r="C10" s="14">
        <v>4027000</v>
      </c>
      <c r="D10" s="14"/>
      <c r="E10" s="2"/>
      <c r="S10" s="18"/>
      <c r="T10" s="179"/>
      <c r="U10" s="23"/>
      <c r="V10" s="131"/>
      <c r="W10" s="23"/>
      <c r="X10" s="179"/>
      <c r="Y10" s="23"/>
      <c r="Z10" s="131"/>
      <c r="AA10" s="23"/>
      <c r="AB10" s="122"/>
      <c r="AC10" s="23"/>
      <c r="AD10" s="137"/>
      <c r="AE10" s="23"/>
      <c r="AF10" s="32"/>
      <c r="AG10" s="23"/>
      <c r="AH10" s="32"/>
      <c r="AI10" s="23"/>
      <c r="AJ10" s="32"/>
      <c r="AK10" s="23"/>
      <c r="AL10" s="32"/>
      <c r="AM10" s="18"/>
      <c r="AN10" s="32"/>
      <c r="AO10" s="31"/>
      <c r="AP10" s="18"/>
    </row>
    <row r="11" spans="1:42" ht="18.75" x14ac:dyDescent="0.3">
      <c r="B11" s="2"/>
      <c r="C11" s="2"/>
      <c r="D11" s="14"/>
      <c r="F11" s="73" t="s">
        <v>80</v>
      </c>
      <c r="G11" s="74"/>
      <c r="H11" s="74"/>
      <c r="I11" s="74"/>
      <c r="J11" s="75"/>
      <c r="S11" s="7" t="s">
        <v>17</v>
      </c>
      <c r="T11" s="179"/>
      <c r="U11" s="182"/>
      <c r="V11" s="131"/>
      <c r="W11" s="182"/>
      <c r="X11" s="179"/>
      <c r="Y11" s="182"/>
      <c r="Z11" s="131"/>
      <c r="AA11" s="182"/>
      <c r="AB11" s="122"/>
      <c r="AC11" s="182"/>
      <c r="AD11" s="137"/>
      <c r="AE11" s="182"/>
      <c r="AF11" s="32"/>
      <c r="AG11" s="182"/>
      <c r="AH11" s="32"/>
      <c r="AI11" s="182"/>
      <c r="AJ11" s="32"/>
      <c r="AK11" s="182"/>
      <c r="AL11" s="32"/>
      <c r="AM11" s="7"/>
      <c r="AN11" s="32"/>
      <c r="AO11" s="27"/>
      <c r="AP11" s="4"/>
    </row>
    <row r="12" spans="1:42" ht="15.75" x14ac:dyDescent="0.25">
      <c r="A12" s="103" t="s">
        <v>146</v>
      </c>
      <c r="B12" s="103" t="s">
        <v>147</v>
      </c>
      <c r="C12" s="72" t="s">
        <v>123</v>
      </c>
      <c r="D12" s="14"/>
      <c r="F12" s="76" t="s">
        <v>81</v>
      </c>
      <c r="G12" s="77"/>
      <c r="H12" s="78"/>
      <c r="S12" s="9" t="s">
        <v>18</v>
      </c>
      <c r="T12" s="130"/>
      <c r="U12" s="23"/>
      <c r="V12" s="130"/>
      <c r="W12" s="23"/>
      <c r="X12" s="130"/>
      <c r="Y12" s="23"/>
      <c r="Z12" s="130"/>
      <c r="AA12" s="23"/>
      <c r="AB12" s="10"/>
      <c r="AC12" s="23"/>
      <c r="AD12" s="134"/>
      <c r="AE12" s="23"/>
      <c r="AF12" s="10"/>
      <c r="AG12" s="23"/>
      <c r="AH12" s="10"/>
      <c r="AI12" s="23"/>
      <c r="AJ12" s="10"/>
      <c r="AK12" s="23"/>
      <c r="AL12" s="10"/>
      <c r="AM12" s="9"/>
      <c r="AN12" s="10"/>
      <c r="AO12" s="10"/>
      <c r="AP12" s="13"/>
    </row>
    <row r="13" spans="1:42" ht="15.75" x14ac:dyDescent="0.25">
      <c r="A13" s="14" t="e">
        <f>B13+B14-1</f>
        <v>#REF!</v>
      </c>
      <c r="B13" s="14">
        <f>C13+C14</f>
        <v>-401775</v>
      </c>
      <c r="C13" s="14">
        <v>-353607</v>
      </c>
      <c r="F13" s="83">
        <f>-(I38*C6+I44*C5)</f>
        <v>-173768.22999999998</v>
      </c>
      <c r="G13" s="84">
        <f>-(I38*C6+I45*C5)</f>
        <v>-88401.14</v>
      </c>
      <c r="H13" s="84" t="e">
        <f>-(I38*#REF!+I46*#REF!+#REF!*I42)</f>
        <v>#REF!</v>
      </c>
      <c r="M13" s="58" t="s">
        <v>90</v>
      </c>
      <c r="N13" s="88"/>
      <c r="O13" s="59" t="s">
        <v>91</v>
      </c>
      <c r="P13" s="89" t="s">
        <v>92</v>
      </c>
      <c r="S13" s="2" t="s">
        <v>24</v>
      </c>
      <c r="T13" s="123">
        <v>-8000</v>
      </c>
      <c r="U13" s="25"/>
      <c r="V13" s="104">
        <v>-7725</v>
      </c>
      <c r="W13" s="25"/>
      <c r="X13" s="123">
        <v>-5000</v>
      </c>
      <c r="Y13" s="25"/>
      <c r="Z13" s="104">
        <f>-27291-4477</f>
        <v>-31768</v>
      </c>
      <c r="AA13" s="25"/>
      <c r="AB13" s="123">
        <v>-10000</v>
      </c>
      <c r="AC13" s="25"/>
      <c r="AD13" s="104">
        <f>-5614-700</f>
        <v>-6314</v>
      </c>
      <c r="AE13" s="25"/>
      <c r="AF13" s="104">
        <f>-2120-1219-2003</f>
        <v>-5342</v>
      </c>
      <c r="AG13" s="25"/>
      <c r="AH13" s="104">
        <f>-2069-5983-3000-1025.03</f>
        <v>-12077.03</v>
      </c>
      <c r="AI13" s="25"/>
      <c r="AJ13" s="35">
        <f>-55525-19208-3662-600</f>
        <v>-78995</v>
      </c>
      <c r="AK13" s="25"/>
      <c r="AL13" s="35">
        <v>-3106</v>
      </c>
      <c r="AM13" s="2"/>
      <c r="AN13" s="35">
        <v>0</v>
      </c>
      <c r="AO13" s="32"/>
      <c r="AP13" s="35">
        <v>-700</v>
      </c>
    </row>
    <row r="14" spans="1:42" ht="16.5" thickBot="1" x14ac:dyDescent="0.3">
      <c r="A14" s="81" t="e">
        <f>+H13</f>
        <v>#REF!</v>
      </c>
      <c r="B14" s="81" t="e">
        <f>+H13</f>
        <v>#REF!</v>
      </c>
      <c r="C14" s="81">
        <v>-48168</v>
      </c>
      <c r="M14" s="90" t="s">
        <v>93</v>
      </c>
      <c r="N14" s="90"/>
      <c r="O14" s="90">
        <v>20</v>
      </c>
      <c r="P14" s="91">
        <f>1/O14</f>
        <v>0.05</v>
      </c>
      <c r="S14" s="2" t="s">
        <v>26</v>
      </c>
      <c r="T14" s="123">
        <v>-16000</v>
      </c>
      <c r="U14" s="25"/>
      <c r="V14" s="104">
        <v>-15133</v>
      </c>
      <c r="W14" s="25"/>
      <c r="X14" s="123">
        <v>-16000</v>
      </c>
      <c r="Y14" s="25"/>
      <c r="Z14" s="104">
        <v>-15792</v>
      </c>
      <c r="AA14" s="25"/>
      <c r="AB14" s="123">
        <v>-13000</v>
      </c>
      <c r="AC14" s="25"/>
      <c r="AD14" s="104">
        <v>-13707</v>
      </c>
      <c r="AE14" s="25"/>
      <c r="AF14" s="104">
        <v>-12619</v>
      </c>
      <c r="AG14" s="25"/>
      <c r="AH14" s="104">
        <v>-12669</v>
      </c>
      <c r="AI14" s="25"/>
      <c r="AJ14" s="35">
        <v>-9750</v>
      </c>
      <c r="AK14" s="25"/>
      <c r="AL14" s="35">
        <v>-9182</v>
      </c>
      <c r="AM14" s="2"/>
      <c r="AN14" s="35">
        <v>0</v>
      </c>
      <c r="AO14" s="28"/>
      <c r="AP14" s="35">
        <v>22201</v>
      </c>
    </row>
    <row r="15" spans="1:42" ht="16.5" thickTop="1" x14ac:dyDescent="0.25">
      <c r="A15" s="86" t="e">
        <f>SUM(A13:A14)</f>
        <v>#REF!</v>
      </c>
      <c r="B15" s="86" t="e">
        <f>SUM(B13:B14)</f>
        <v>#REF!</v>
      </c>
      <c r="C15" s="86">
        <f>SUM(C13:C14)</f>
        <v>-401775</v>
      </c>
      <c r="D15" s="47"/>
      <c r="M15" s="90" t="s">
        <v>96</v>
      </c>
      <c r="N15" s="90"/>
      <c r="O15" s="90">
        <v>50</v>
      </c>
      <c r="P15" s="92">
        <f>1/O15</f>
        <v>0.02</v>
      </c>
      <c r="S15" s="2" t="s">
        <v>27</v>
      </c>
      <c r="T15" s="123">
        <v>-15000</v>
      </c>
      <c r="U15" s="25"/>
      <c r="V15" s="104">
        <v>-11920</v>
      </c>
      <c r="W15" s="25"/>
      <c r="X15" s="123">
        <v>-15000</v>
      </c>
      <c r="Y15" s="25"/>
      <c r="Z15" s="104">
        <v>-13319</v>
      </c>
      <c r="AA15" s="25"/>
      <c r="AB15" s="123">
        <v>-10000</v>
      </c>
      <c r="AC15" s="25"/>
      <c r="AD15" s="104">
        <f>-8479-1761</f>
        <v>-10240</v>
      </c>
      <c r="AE15" s="25"/>
      <c r="AF15" s="104">
        <v>-10185</v>
      </c>
      <c r="AG15" s="25"/>
      <c r="AH15" s="104">
        <v>-10025</v>
      </c>
      <c r="AI15" s="25"/>
      <c r="AJ15" s="35">
        <v>-6979</v>
      </c>
      <c r="AK15" s="25"/>
      <c r="AL15" s="35">
        <v>-11899</v>
      </c>
      <c r="AM15" s="2"/>
      <c r="AN15" s="35">
        <v>-26444</v>
      </c>
      <c r="AO15" s="28"/>
      <c r="AP15" s="35">
        <v>-3969</v>
      </c>
    </row>
    <row r="16" spans="1:42" ht="15.75" x14ac:dyDescent="0.25">
      <c r="A16" s="14"/>
      <c r="B16" s="14"/>
      <c r="C16" s="14"/>
      <c r="M16" s="90" t="s">
        <v>96</v>
      </c>
      <c r="N16" s="90"/>
      <c r="O16" s="90">
        <v>100</v>
      </c>
      <c r="P16" s="92">
        <f>1/O16</f>
        <v>0.01</v>
      </c>
      <c r="S16" s="2" t="s">
        <v>29</v>
      </c>
      <c r="T16" s="123">
        <v>-50000</v>
      </c>
      <c r="U16" s="25"/>
      <c r="V16" s="104">
        <v>-47582</v>
      </c>
      <c r="W16" s="25"/>
      <c r="X16" s="123">
        <v>-50000</v>
      </c>
      <c r="Y16" s="25"/>
      <c r="Z16" s="104">
        <v>-47870</v>
      </c>
      <c r="AA16" s="25"/>
      <c r="AB16" s="123">
        <v>-42000</v>
      </c>
      <c r="AC16" s="25"/>
      <c r="AD16" s="104">
        <f>-37505-5393</f>
        <v>-42898</v>
      </c>
      <c r="AE16" s="25"/>
      <c r="AF16" s="104">
        <v>-42135</v>
      </c>
      <c r="AG16" s="25"/>
      <c r="AH16" s="104">
        <v>-42621</v>
      </c>
      <c r="AI16" s="25"/>
      <c r="AJ16" s="35">
        <v>-41525</v>
      </c>
      <c r="AK16" s="25"/>
      <c r="AL16" s="35">
        <v>-36224</v>
      </c>
      <c r="AM16" s="2"/>
      <c r="AN16" s="35">
        <v>-10002</v>
      </c>
      <c r="AO16" s="28"/>
      <c r="AP16" s="35">
        <v>-10284</v>
      </c>
    </row>
    <row r="17" spans="1:42" ht="15.75" x14ac:dyDescent="0.25">
      <c r="B17" s="87"/>
      <c r="C17" s="87"/>
      <c r="M17" s="90" t="s">
        <v>96</v>
      </c>
      <c r="N17" s="90"/>
      <c r="O17" s="90">
        <v>200</v>
      </c>
      <c r="P17" s="92">
        <f>1/O17</f>
        <v>5.0000000000000001E-3</v>
      </c>
      <c r="S17" s="2" t="s">
        <v>30</v>
      </c>
      <c r="T17" s="123">
        <v>-12000</v>
      </c>
      <c r="U17" s="25"/>
      <c r="V17" s="104">
        <v>-12315</v>
      </c>
      <c r="W17" s="25"/>
      <c r="X17" s="123">
        <v>-12000</v>
      </c>
      <c r="Y17" s="25"/>
      <c r="Z17" s="104">
        <v>-11134</v>
      </c>
      <c r="AA17" s="25"/>
      <c r="AB17" s="123">
        <v>-9000</v>
      </c>
      <c r="AC17" s="25"/>
      <c r="AD17" s="104">
        <v>-9211</v>
      </c>
      <c r="AE17" s="25"/>
      <c r="AF17" s="104">
        <v>-8335</v>
      </c>
      <c r="AG17" s="25"/>
      <c r="AH17" s="104">
        <v>-8261.65</v>
      </c>
      <c r="AI17" s="25"/>
      <c r="AJ17" s="35">
        <v>-8322</v>
      </c>
      <c r="AK17" s="25"/>
      <c r="AL17" s="35">
        <v>-8399</v>
      </c>
      <c r="AM17" s="2"/>
      <c r="AN17" s="35">
        <v>-7102</v>
      </c>
      <c r="AO17" s="28"/>
      <c r="AP17" s="35">
        <v>-8227</v>
      </c>
    </row>
    <row r="18" spans="1:42" ht="15.75" x14ac:dyDescent="0.25">
      <c r="A18" s="14">
        <f>+B4-B5</f>
        <v>-8536709</v>
      </c>
      <c r="B18" s="14">
        <f>+C4-C5</f>
        <v>-8536709</v>
      </c>
      <c r="C18" s="14">
        <v>1542051</v>
      </c>
      <c r="S18" s="2" t="s">
        <v>154</v>
      </c>
      <c r="T18" s="123">
        <v>-7000</v>
      </c>
      <c r="U18" s="25"/>
      <c r="V18" s="104">
        <v>-6877</v>
      </c>
      <c r="W18" s="25"/>
      <c r="X18" s="123">
        <v>-8000</v>
      </c>
      <c r="Y18" s="25"/>
      <c r="Z18" s="104">
        <v>-7948</v>
      </c>
      <c r="AA18" s="25"/>
      <c r="AB18" s="123">
        <v>-7000</v>
      </c>
      <c r="AC18" s="25"/>
      <c r="AD18" s="104">
        <v>-6422</v>
      </c>
      <c r="AE18" s="25"/>
      <c r="AF18" s="104">
        <v>-6844</v>
      </c>
      <c r="AG18" s="25"/>
      <c r="AH18" s="104">
        <v>-5811</v>
      </c>
      <c r="AI18" s="25"/>
      <c r="AJ18" s="35">
        <v>-6137</v>
      </c>
      <c r="AK18" s="25"/>
      <c r="AL18" s="35">
        <v>-5683</v>
      </c>
      <c r="AM18" s="2"/>
      <c r="AN18" s="35">
        <v>-38929</v>
      </c>
      <c r="AO18" s="28"/>
      <c r="AP18" s="35">
        <v>-38449</v>
      </c>
    </row>
    <row r="19" spans="1:42" ht="15.75" x14ac:dyDescent="0.25">
      <c r="A19" s="95"/>
      <c r="B19" s="14"/>
      <c r="C19" s="14"/>
      <c r="S19" s="2" t="s">
        <v>235</v>
      </c>
      <c r="T19" s="123">
        <v>-2000</v>
      </c>
      <c r="U19" s="25"/>
      <c r="V19" s="104">
        <v>-1578</v>
      </c>
      <c r="W19" s="25"/>
      <c r="X19" s="123">
        <v>-5000</v>
      </c>
      <c r="Y19" s="25"/>
      <c r="Z19" s="104">
        <v>-148</v>
      </c>
      <c r="AA19" s="25"/>
      <c r="AB19" s="123">
        <v>-2000</v>
      </c>
      <c r="AC19" s="25"/>
      <c r="AD19" s="104">
        <v>-209</v>
      </c>
      <c r="AE19" s="25"/>
      <c r="AF19" s="104">
        <v>0</v>
      </c>
      <c r="AG19" s="25"/>
      <c r="AH19" s="104">
        <v>-716.95</v>
      </c>
      <c r="AI19" s="25"/>
      <c r="AJ19" s="35">
        <v>-5307</v>
      </c>
      <c r="AK19" s="25"/>
      <c r="AL19" s="35">
        <v>-2023</v>
      </c>
      <c r="AM19" s="2"/>
      <c r="AN19" s="35">
        <v>-8540</v>
      </c>
      <c r="AO19" s="28"/>
      <c r="AP19" s="35">
        <v>-10333</v>
      </c>
    </row>
    <row r="20" spans="1:42" ht="15.75" x14ac:dyDescent="0.25">
      <c r="A20" s="95"/>
      <c r="B20" s="14"/>
      <c r="C20" s="14"/>
      <c r="S20" s="2" t="s">
        <v>33</v>
      </c>
      <c r="T20" s="123">
        <v>-3000</v>
      </c>
      <c r="U20" s="25"/>
      <c r="V20" s="104">
        <v>0</v>
      </c>
      <c r="W20" s="25"/>
      <c r="X20" s="123">
        <v>0</v>
      </c>
      <c r="Y20" s="25"/>
      <c r="Z20" s="104">
        <v>-11828</v>
      </c>
      <c r="AA20" s="25"/>
      <c r="AB20" s="123">
        <v>0</v>
      </c>
      <c r="AC20" s="25"/>
      <c r="AD20" s="104">
        <v>0</v>
      </c>
      <c r="AE20" s="25"/>
      <c r="AF20" s="104">
        <v>0</v>
      </c>
      <c r="AG20" s="25"/>
      <c r="AH20" s="104">
        <v>0</v>
      </c>
      <c r="AI20" s="25"/>
      <c r="AJ20" s="35">
        <v>-11785</v>
      </c>
      <c r="AK20" s="25"/>
      <c r="AL20" s="35">
        <f>-1097-648</f>
        <v>-1745</v>
      </c>
      <c r="AM20" s="2"/>
      <c r="AN20" s="35">
        <v>-5427</v>
      </c>
      <c r="AO20" s="28"/>
      <c r="AP20" s="35">
        <v>-5448</v>
      </c>
    </row>
    <row r="21" spans="1:42" ht="15.75" x14ac:dyDescent="0.25">
      <c r="A21" s="95"/>
      <c r="B21" s="14"/>
      <c r="C21" s="14"/>
      <c r="S21" s="2" t="s">
        <v>35</v>
      </c>
      <c r="T21" s="123">
        <v>-7000</v>
      </c>
      <c r="U21" s="25"/>
      <c r="V21" s="104">
        <v>0</v>
      </c>
      <c r="W21" s="25"/>
      <c r="X21" s="123">
        <v>-8000</v>
      </c>
      <c r="Y21" s="25"/>
      <c r="Z21" s="104">
        <v>-11181.5</v>
      </c>
      <c r="AA21" s="25"/>
      <c r="AB21" s="123">
        <v>-5000</v>
      </c>
      <c r="AC21" s="25"/>
      <c r="AD21" s="104">
        <v>-1313</v>
      </c>
      <c r="AE21" s="25"/>
      <c r="AF21" s="104">
        <v>-5520</v>
      </c>
      <c r="AG21" s="25"/>
      <c r="AH21" s="104">
        <v>-6987</v>
      </c>
      <c r="AI21" s="25"/>
      <c r="AJ21" s="35">
        <v>-6553</v>
      </c>
      <c r="AK21" s="25"/>
      <c r="AL21" s="35">
        <v>-1453</v>
      </c>
      <c r="AM21" s="2"/>
      <c r="AN21" s="35">
        <v>-131</v>
      </c>
      <c r="AO21" s="28"/>
      <c r="AP21" s="35">
        <v>-778</v>
      </c>
    </row>
    <row r="22" spans="1:42" ht="15.75" x14ac:dyDescent="0.25">
      <c r="A22" s="95"/>
      <c r="B22" s="14"/>
      <c r="C22" s="14"/>
      <c r="S22" s="2" t="s">
        <v>37</v>
      </c>
      <c r="T22" s="123">
        <v>-2500</v>
      </c>
      <c r="U22" s="25"/>
      <c r="V22" s="104">
        <v>-2376</v>
      </c>
      <c r="W22" s="25"/>
      <c r="X22" s="123">
        <v>-2500</v>
      </c>
      <c r="Y22" s="25"/>
      <c r="Z22" s="104">
        <v>-2436</v>
      </c>
      <c r="AA22" s="25"/>
      <c r="AB22" s="123">
        <v>-2500</v>
      </c>
      <c r="AC22" s="25"/>
      <c r="AD22" s="104">
        <v>-2436</v>
      </c>
      <c r="AE22" s="25"/>
      <c r="AF22" s="104">
        <v>-2400</v>
      </c>
      <c r="AG22" s="25"/>
      <c r="AH22" s="104">
        <v>-2424</v>
      </c>
      <c r="AI22" s="25"/>
      <c r="AJ22" s="35">
        <v>-2858</v>
      </c>
      <c r="AK22" s="25"/>
      <c r="AL22" s="35">
        <f>-3200-2252</f>
        <v>-5452</v>
      </c>
      <c r="AM22" s="2"/>
      <c r="AN22" s="35">
        <v>-1757</v>
      </c>
      <c r="AO22" s="28"/>
      <c r="AP22" s="35">
        <v>0</v>
      </c>
    </row>
    <row r="23" spans="1:42" ht="14.45" customHeight="1" thickBot="1" x14ac:dyDescent="0.3">
      <c r="A23" s="95"/>
      <c r="B23" s="14"/>
      <c r="C23" s="14"/>
      <c r="S23" s="2" t="s">
        <v>39</v>
      </c>
      <c r="T23" s="124">
        <v>-1500</v>
      </c>
      <c r="U23" s="25"/>
      <c r="V23" s="105">
        <v>-1355</v>
      </c>
      <c r="W23" s="25"/>
      <c r="X23" s="124">
        <v>-1500</v>
      </c>
      <c r="Y23" s="25"/>
      <c r="Z23" s="105">
        <v>-1351</v>
      </c>
      <c r="AA23" s="25"/>
      <c r="AB23" s="124">
        <v>-1200</v>
      </c>
      <c r="AC23" s="25"/>
      <c r="AD23" s="105">
        <v>-1111</v>
      </c>
      <c r="AE23" s="25"/>
      <c r="AF23" s="105">
        <v>-1146.5</v>
      </c>
      <c r="AG23" s="25"/>
      <c r="AH23" s="105">
        <v>-1148</v>
      </c>
      <c r="AI23" s="25"/>
      <c r="AJ23" s="42">
        <v>-1142</v>
      </c>
      <c r="AK23" s="25"/>
      <c r="AL23" s="42">
        <v>-914</v>
      </c>
      <c r="AM23" s="2"/>
      <c r="AN23" s="35">
        <v>0</v>
      </c>
      <c r="AO23" s="28"/>
      <c r="AP23" s="35">
        <v>-1549</v>
      </c>
    </row>
    <row r="24" spans="1:42" ht="15.6" customHeight="1" thickTop="1" x14ac:dyDescent="0.25">
      <c r="A24" s="95"/>
      <c r="B24" s="14"/>
      <c r="C24" s="14"/>
      <c r="S24" s="16" t="s">
        <v>41</v>
      </c>
      <c r="T24" s="130">
        <f>SUM(T13:T23)</f>
        <v>-124000</v>
      </c>
      <c r="U24" s="23"/>
      <c r="V24" s="127">
        <f>SUM(V13:V23)</f>
        <v>-106861</v>
      </c>
      <c r="W24" s="23"/>
      <c r="X24" s="130">
        <f>SUM(X13:X23)</f>
        <v>-123000</v>
      </c>
      <c r="Y24" s="23"/>
      <c r="Z24" s="127">
        <f>SUM(Z13:Z23)</f>
        <v>-154775.5</v>
      </c>
      <c r="AA24" s="23"/>
      <c r="AB24" s="10">
        <f>SUM(AB13:AB23)</f>
        <v>-101700</v>
      </c>
      <c r="AC24" s="23"/>
      <c r="AD24" s="127">
        <f>SUM(AD13:AD23)</f>
        <v>-93861</v>
      </c>
      <c r="AE24" s="23"/>
      <c r="AF24" s="33">
        <f>SUM(AF13:AF23)</f>
        <v>-94526.5</v>
      </c>
      <c r="AG24" s="23"/>
      <c r="AH24" s="33">
        <f>SUM(AH13:AH23)</f>
        <v>-102740.62999999999</v>
      </c>
      <c r="AI24" s="23"/>
      <c r="AJ24" s="33">
        <f>SUM(AJ13:AJ23)</f>
        <v>-179353</v>
      </c>
      <c r="AK24" s="23"/>
      <c r="AL24" s="33">
        <f>SUM(AL13:AL23)</f>
        <v>-86080</v>
      </c>
      <c r="AM24" s="16"/>
      <c r="AN24" s="35">
        <f>-1000-2252</f>
        <v>-3252</v>
      </c>
      <c r="AO24" s="28"/>
      <c r="AP24" s="35">
        <v>-3526</v>
      </c>
    </row>
    <row r="25" spans="1:42" ht="15.6" customHeight="1" x14ac:dyDescent="0.25">
      <c r="A25" s="95"/>
      <c r="B25" s="14"/>
      <c r="C25" s="14"/>
      <c r="S25" s="23"/>
      <c r="T25" s="179"/>
      <c r="U25" s="23"/>
      <c r="V25" s="128"/>
      <c r="W25" s="23"/>
      <c r="X25" s="164"/>
      <c r="Y25" s="23"/>
      <c r="Z25" s="128"/>
      <c r="AA25" s="23"/>
      <c r="AB25" s="164"/>
      <c r="AC25" s="23"/>
      <c r="AD25" s="128"/>
      <c r="AE25" s="23"/>
      <c r="AF25" s="36"/>
      <c r="AG25" s="23"/>
      <c r="AH25" s="36"/>
      <c r="AI25" s="23"/>
      <c r="AJ25" s="36"/>
      <c r="AK25" s="23"/>
      <c r="AL25" s="36"/>
      <c r="AM25" s="16"/>
      <c r="AN25" s="35"/>
      <c r="AO25" s="28"/>
      <c r="AP25" s="35"/>
    </row>
    <row r="26" spans="1:42" ht="15.6" customHeight="1" x14ac:dyDescent="0.25">
      <c r="A26" s="95"/>
      <c r="B26" s="14"/>
      <c r="C26" s="14"/>
      <c r="S26" s="16" t="s">
        <v>215</v>
      </c>
      <c r="T26" s="130">
        <f>T8+T24</f>
        <v>15020</v>
      </c>
      <c r="U26" s="128"/>
      <c r="V26" s="130">
        <f>V8+V24</f>
        <v>32159</v>
      </c>
      <c r="W26" s="128"/>
      <c r="X26" s="130">
        <f>X8+X24</f>
        <v>16020</v>
      </c>
      <c r="Y26" s="128"/>
      <c r="Z26" s="130">
        <f>Z8+Z24</f>
        <v>-15755.5</v>
      </c>
      <c r="AA26" s="128"/>
      <c r="AB26" s="130">
        <f>AB8+AB24</f>
        <v>37320</v>
      </c>
      <c r="AC26" s="128"/>
      <c r="AD26" s="130">
        <f>AD8+AD24</f>
        <v>45159</v>
      </c>
      <c r="AE26" s="128"/>
      <c r="AF26" s="130">
        <f>AF8+AF24</f>
        <v>44493.5</v>
      </c>
      <c r="AG26" s="128"/>
      <c r="AH26" s="130">
        <f>AH8+AH24</f>
        <v>36279.37000000001</v>
      </c>
      <c r="AI26" s="128"/>
      <c r="AJ26" s="130">
        <f>AJ8+AJ24</f>
        <v>-40333</v>
      </c>
      <c r="AK26" s="128"/>
      <c r="AL26" s="130">
        <f>AL8+AL24</f>
        <v>52940</v>
      </c>
      <c r="AM26" s="16"/>
      <c r="AN26" s="35"/>
      <c r="AO26" s="28"/>
      <c r="AP26" s="35"/>
    </row>
    <row r="27" spans="1:42" ht="16.5" thickBot="1" x14ac:dyDescent="0.3">
      <c r="A27" s="95"/>
      <c r="B27" s="14"/>
      <c r="C27" s="14"/>
      <c r="S27" s="23"/>
      <c r="T27" s="179"/>
      <c r="U27" s="23"/>
      <c r="V27" s="128"/>
      <c r="W27" s="23"/>
      <c r="X27" s="164"/>
      <c r="Y27" s="23"/>
      <c r="Z27" s="128"/>
      <c r="AA27" s="23"/>
      <c r="AB27" s="122"/>
      <c r="AC27" s="23"/>
      <c r="AD27" s="136"/>
      <c r="AE27" s="23"/>
      <c r="AF27" s="36"/>
      <c r="AG27" s="23"/>
      <c r="AH27" s="36"/>
      <c r="AI27" s="23"/>
      <c r="AJ27" s="36"/>
      <c r="AK27" s="23"/>
      <c r="AL27" s="36"/>
      <c r="AM27" s="23"/>
      <c r="AN27" s="42">
        <v>-1165</v>
      </c>
      <c r="AO27" s="28"/>
      <c r="AP27" s="42">
        <v>-866</v>
      </c>
    </row>
    <row r="28" spans="1:42" ht="16.5" thickTop="1" x14ac:dyDescent="0.25">
      <c r="A28" s="95"/>
      <c r="B28" s="14"/>
      <c r="C28" s="14"/>
      <c r="S28" s="38" t="s">
        <v>62</v>
      </c>
      <c r="T28" s="130">
        <v>-8000</v>
      </c>
      <c r="U28" s="23"/>
      <c r="V28" s="129">
        <v>-7295</v>
      </c>
      <c r="W28" s="23"/>
      <c r="X28" s="130">
        <v>-8000</v>
      </c>
      <c r="Y28" s="23"/>
      <c r="Z28" s="129">
        <v>-7145</v>
      </c>
      <c r="AA28" s="23"/>
      <c r="AB28" s="10">
        <v>-7000</v>
      </c>
      <c r="AC28" s="23"/>
      <c r="AD28" s="129">
        <v>-6885</v>
      </c>
      <c r="AE28" s="23"/>
      <c r="AF28" s="39">
        <v>-6685</v>
      </c>
      <c r="AG28" s="23"/>
      <c r="AH28" s="39">
        <v>-3285</v>
      </c>
      <c r="AI28" s="23"/>
      <c r="AJ28" s="39">
        <v>-3170</v>
      </c>
      <c r="AK28" s="23"/>
      <c r="AL28" s="39">
        <v>-3105</v>
      </c>
      <c r="AM28" s="38"/>
      <c r="AN28" s="33">
        <f>SUM(AN13:AN27)</f>
        <v>-102749</v>
      </c>
      <c r="AO28" s="33"/>
      <c r="AP28" s="16">
        <f>SUM(AP13:AP27)</f>
        <v>-61928</v>
      </c>
    </row>
    <row r="29" spans="1:42" ht="15.75" x14ac:dyDescent="0.25">
      <c r="F29" s="58" t="s">
        <v>90</v>
      </c>
      <c r="G29" s="88"/>
      <c r="H29" s="59" t="s">
        <v>91</v>
      </c>
      <c r="I29" s="89" t="s">
        <v>92</v>
      </c>
      <c r="S29" s="14"/>
      <c r="T29" s="123"/>
      <c r="U29" s="183"/>
      <c r="V29" s="104"/>
      <c r="W29" s="183"/>
      <c r="X29" s="163"/>
      <c r="Y29" s="183"/>
      <c r="Z29" s="104"/>
      <c r="AA29" s="183"/>
      <c r="AB29" s="121"/>
      <c r="AC29" s="183"/>
      <c r="AD29" s="135"/>
      <c r="AE29" s="183"/>
      <c r="AF29" s="35"/>
      <c r="AG29" s="183"/>
      <c r="AH29" s="35"/>
      <c r="AI29" s="183"/>
      <c r="AJ29" s="35"/>
      <c r="AK29" s="183"/>
      <c r="AL29" s="35"/>
      <c r="AM29" s="14"/>
      <c r="AN29" s="36"/>
      <c r="AO29" s="36"/>
      <c r="AP29" s="23"/>
    </row>
    <row r="30" spans="1:42" ht="15.75" x14ac:dyDescent="0.25">
      <c r="F30" s="58"/>
      <c r="G30" s="88"/>
      <c r="H30" s="59"/>
      <c r="I30" s="89"/>
      <c r="S30" s="9" t="s">
        <v>43</v>
      </c>
      <c r="T30" s="130"/>
      <c r="U30" s="23"/>
      <c r="V30" s="130"/>
      <c r="W30" s="23"/>
      <c r="X30" s="134"/>
      <c r="Y30" s="23"/>
      <c r="Z30" s="130"/>
      <c r="AA30" s="23"/>
      <c r="AB30" s="10"/>
      <c r="AC30" s="23"/>
      <c r="AD30" s="134"/>
      <c r="AE30" s="23"/>
      <c r="AF30" s="10"/>
      <c r="AG30" s="23"/>
      <c r="AH30" s="10"/>
      <c r="AI30" s="23"/>
      <c r="AJ30" s="10"/>
      <c r="AK30" s="23"/>
      <c r="AL30" s="10"/>
      <c r="AM30" s="9"/>
      <c r="AN30" s="39">
        <v>-3040</v>
      </c>
      <c r="AO30" s="39"/>
      <c r="AP30" s="39">
        <v>-3025</v>
      </c>
    </row>
    <row r="31" spans="1:42" ht="15.75" x14ac:dyDescent="0.25">
      <c r="F31" s="58"/>
      <c r="G31" s="88"/>
      <c r="H31" s="59"/>
      <c r="I31" s="89"/>
      <c r="S31" s="2" t="s">
        <v>45</v>
      </c>
      <c r="T31" s="123">
        <v>0</v>
      </c>
      <c r="U31" s="25"/>
      <c r="V31" s="104">
        <v>0</v>
      </c>
      <c r="W31" s="25"/>
      <c r="X31" s="123">
        <v>0</v>
      </c>
      <c r="Y31" s="25"/>
      <c r="Z31" s="104">
        <v>0</v>
      </c>
      <c r="AA31" s="25"/>
      <c r="AB31" s="121">
        <v>0</v>
      </c>
      <c r="AC31" s="25"/>
      <c r="AD31" s="104">
        <v>0</v>
      </c>
      <c r="AE31" s="25"/>
      <c r="AF31" s="35">
        <v>0</v>
      </c>
      <c r="AG31" s="25"/>
      <c r="AH31" s="35">
        <v>0</v>
      </c>
      <c r="AI31" s="25"/>
      <c r="AJ31" s="35">
        <v>0</v>
      </c>
      <c r="AK31" s="25"/>
      <c r="AL31" s="35">
        <v>0</v>
      </c>
      <c r="AM31" s="2"/>
      <c r="AN31" s="35"/>
      <c r="AO31" s="28"/>
      <c r="AP31" s="22"/>
    </row>
    <row r="32" spans="1:42" ht="16.5" thickBot="1" x14ac:dyDescent="0.3">
      <c r="F32" s="58"/>
      <c r="G32" s="88"/>
      <c r="H32" s="59"/>
      <c r="I32" s="89"/>
      <c r="S32" s="2" t="s">
        <v>134</v>
      </c>
      <c r="T32" s="124">
        <v>-100</v>
      </c>
      <c r="U32" s="25"/>
      <c r="V32" s="105">
        <v>-112</v>
      </c>
      <c r="W32" s="25"/>
      <c r="X32" s="124">
        <v>-100</v>
      </c>
      <c r="Y32" s="25"/>
      <c r="Z32" s="105">
        <v>-77</v>
      </c>
      <c r="AA32" s="25"/>
      <c r="AB32" s="125">
        <v>-100</v>
      </c>
      <c r="AC32" s="25"/>
      <c r="AD32" s="105">
        <v>-74</v>
      </c>
      <c r="AE32" s="25"/>
      <c r="AF32" s="42">
        <v>-72</v>
      </c>
      <c r="AG32" s="25"/>
      <c r="AH32" s="42">
        <v>-35</v>
      </c>
      <c r="AI32" s="25"/>
      <c r="AJ32" s="42">
        <v>-36</v>
      </c>
      <c r="AK32" s="25"/>
      <c r="AL32" s="42">
        <v>-33</v>
      </c>
      <c r="AM32" s="2"/>
      <c r="AN32" s="10"/>
      <c r="AO32" s="10"/>
      <c r="AP32" s="13"/>
    </row>
    <row r="33" spans="1:42" ht="17.25" thickTop="1" thickBot="1" x14ac:dyDescent="0.3">
      <c r="F33" s="58"/>
      <c r="G33" s="88"/>
      <c r="H33" s="59"/>
      <c r="I33" s="89"/>
      <c r="S33" s="16" t="s">
        <v>47</v>
      </c>
      <c r="T33" s="130">
        <f>SUM(T31:T32)</f>
        <v>-100</v>
      </c>
      <c r="U33" s="23"/>
      <c r="V33" s="127">
        <f>SUM(V31:V32)</f>
        <v>-112</v>
      </c>
      <c r="W33" s="23"/>
      <c r="X33" s="130">
        <f>SUM(X31:X32)</f>
        <v>-100</v>
      </c>
      <c r="Y33" s="23"/>
      <c r="Z33" s="127">
        <f>SUM(Z31:Z32)</f>
        <v>-77</v>
      </c>
      <c r="AA33" s="23"/>
      <c r="AB33" s="10">
        <f>SUM(AB31:AB32)</f>
        <v>-100</v>
      </c>
      <c r="AC33" s="23"/>
      <c r="AD33" s="127">
        <f>SUM(AD31:AD32)</f>
        <v>-74</v>
      </c>
      <c r="AE33" s="23"/>
      <c r="AF33" s="33">
        <f>SUM(AF31:AF32)</f>
        <v>-72</v>
      </c>
      <c r="AG33" s="23"/>
      <c r="AH33" s="33">
        <f>SUM(AH31:AH32)</f>
        <v>-35</v>
      </c>
      <c r="AI33" s="23"/>
      <c r="AJ33" s="33">
        <f>SUM(AJ31:AJ32)</f>
        <v>-36</v>
      </c>
      <c r="AK33" s="23"/>
      <c r="AL33" s="33">
        <f>SUM(AL31:AL32)</f>
        <v>-33</v>
      </c>
      <c r="AM33" s="16"/>
      <c r="AN33" s="42">
        <v>1269</v>
      </c>
      <c r="AO33" s="27"/>
      <c r="AP33" s="42">
        <v>2638</v>
      </c>
    </row>
    <row r="34" spans="1:42" ht="16.5" thickTop="1" x14ac:dyDescent="0.25">
      <c r="F34" s="58"/>
      <c r="G34" s="88"/>
      <c r="H34" s="59"/>
      <c r="I34" s="89"/>
      <c r="S34" s="23"/>
      <c r="T34" s="123"/>
      <c r="U34" s="23"/>
      <c r="V34" s="128"/>
      <c r="W34" s="23"/>
      <c r="X34" s="163"/>
      <c r="Y34" s="23"/>
      <c r="Z34" s="128"/>
      <c r="AA34" s="23"/>
      <c r="AB34" s="163"/>
      <c r="AC34" s="23"/>
      <c r="AD34" s="128"/>
      <c r="AE34" s="23"/>
      <c r="AF34" s="36"/>
      <c r="AG34" s="23"/>
      <c r="AH34" s="36"/>
      <c r="AI34" s="23"/>
      <c r="AJ34" s="36"/>
      <c r="AK34" s="23"/>
      <c r="AL34" s="36"/>
      <c r="AM34" s="16"/>
      <c r="AN34" s="35"/>
      <c r="AO34" s="27"/>
      <c r="AP34" s="35"/>
    </row>
    <row r="35" spans="1:42" ht="15.75" x14ac:dyDescent="0.25">
      <c r="F35" s="58"/>
      <c r="G35" s="88"/>
      <c r="H35" s="59"/>
      <c r="I35" s="89"/>
      <c r="S35" s="16" t="s">
        <v>216</v>
      </c>
      <c r="T35" s="130">
        <f>T26+T28+T33</f>
        <v>6920</v>
      </c>
      <c r="U35" s="23"/>
      <c r="V35" s="130">
        <f>V26+V28+V33</f>
        <v>24752</v>
      </c>
      <c r="W35" s="23"/>
      <c r="X35" s="130">
        <f>X26+X28+X33</f>
        <v>7920</v>
      </c>
      <c r="Y35" s="23"/>
      <c r="Z35" s="130">
        <f>Z26+Z28+Z33</f>
        <v>-22977.5</v>
      </c>
      <c r="AA35" s="23"/>
      <c r="AB35" s="130">
        <f>AB26+AB28+AB33</f>
        <v>30220</v>
      </c>
      <c r="AC35" s="23"/>
      <c r="AD35" s="130">
        <f>AD26+AD28+AD33</f>
        <v>38200</v>
      </c>
      <c r="AE35" s="23"/>
      <c r="AF35" s="130">
        <f>AF26+AF28+AF33</f>
        <v>37736.5</v>
      </c>
      <c r="AG35" s="23"/>
      <c r="AH35" s="130">
        <f>AH26+AH28+AH33</f>
        <v>32959.37000000001</v>
      </c>
      <c r="AI35" s="23"/>
      <c r="AJ35" s="130">
        <f>AJ26+AJ28+AJ33</f>
        <v>-43539</v>
      </c>
      <c r="AK35" s="23"/>
      <c r="AL35" s="130">
        <f>AL26+AL28+AL33</f>
        <v>49802</v>
      </c>
      <c r="AM35" s="16"/>
      <c r="AN35" s="35"/>
      <c r="AO35" s="27"/>
      <c r="AP35" s="35"/>
    </row>
    <row r="36" spans="1:42" ht="15.75" x14ac:dyDescent="0.25">
      <c r="F36" s="58"/>
      <c r="G36" s="88"/>
      <c r="H36" s="59"/>
      <c r="I36" s="89"/>
      <c r="S36" s="2"/>
      <c r="T36" s="163"/>
      <c r="U36" s="25"/>
      <c r="V36" s="104"/>
      <c r="W36" s="25"/>
      <c r="X36" s="163"/>
      <c r="Y36" s="25"/>
      <c r="Z36" s="104"/>
      <c r="AA36" s="25"/>
      <c r="AB36" s="121"/>
      <c r="AC36" s="25"/>
      <c r="AD36" s="135"/>
      <c r="AE36" s="25"/>
      <c r="AF36" s="35"/>
      <c r="AG36" s="25"/>
      <c r="AH36" s="35"/>
      <c r="AI36" s="25"/>
      <c r="AJ36" s="35"/>
      <c r="AK36" s="25"/>
      <c r="AL36" s="35"/>
      <c r="AM36" s="2"/>
      <c r="AN36" s="33">
        <f>+AN33</f>
        <v>1269</v>
      </c>
      <c r="AO36" s="33"/>
      <c r="AP36" s="16">
        <f>+AP33</f>
        <v>2638</v>
      </c>
    </row>
    <row r="37" spans="1:42" ht="15.75" x14ac:dyDescent="0.25">
      <c r="F37" s="58"/>
      <c r="G37" s="88"/>
      <c r="H37" s="59"/>
      <c r="I37" s="89"/>
      <c r="S37" s="9" t="s">
        <v>49</v>
      </c>
      <c r="T37" s="134"/>
      <c r="U37" s="23"/>
      <c r="V37" s="130"/>
      <c r="W37" s="23"/>
      <c r="X37" s="134"/>
      <c r="Y37" s="23"/>
      <c r="Z37" s="130"/>
      <c r="AA37" s="23"/>
      <c r="AB37" s="10"/>
      <c r="AC37" s="23"/>
      <c r="AD37" s="134"/>
      <c r="AE37" s="23"/>
      <c r="AF37" s="10"/>
      <c r="AG37" s="23"/>
      <c r="AH37" s="10"/>
      <c r="AI37" s="23"/>
      <c r="AJ37" s="10"/>
      <c r="AK37" s="23"/>
      <c r="AL37" s="10"/>
      <c r="AM37" s="9"/>
      <c r="AN37" s="35"/>
      <c r="AO37" s="27"/>
      <c r="AP37" s="4"/>
    </row>
    <row r="38" spans="1:42" ht="15.75" x14ac:dyDescent="0.25">
      <c r="A38" s="70">
        <v>11585</v>
      </c>
      <c r="B38" s="14">
        <v>11585</v>
      </c>
      <c r="C38" s="14">
        <v>11585</v>
      </c>
      <c r="F38" s="90" t="s">
        <v>93</v>
      </c>
      <c r="G38" s="90"/>
      <c r="H38" s="90">
        <v>20</v>
      </c>
      <c r="I38" s="92">
        <f>1/H38</f>
        <v>0.05</v>
      </c>
      <c r="S38" s="2" t="s">
        <v>53</v>
      </c>
      <c r="T38" s="123">
        <v>-60418</v>
      </c>
      <c r="U38" s="25"/>
      <c r="V38" s="104">
        <v>-60418</v>
      </c>
      <c r="W38" s="25"/>
      <c r="X38" s="123">
        <v>-60418</v>
      </c>
      <c r="Y38" s="25"/>
      <c r="Z38" s="104">
        <v>-60418</v>
      </c>
      <c r="AA38" s="25"/>
      <c r="AB38" s="121">
        <v>-60418</v>
      </c>
      <c r="AC38" s="25"/>
      <c r="AD38" s="104">
        <v>-60418</v>
      </c>
      <c r="AE38" s="25"/>
      <c r="AF38" s="35">
        <v>-60418</v>
      </c>
      <c r="AG38" s="25"/>
      <c r="AH38" s="35">
        <v>-60418</v>
      </c>
      <c r="AI38" s="25"/>
      <c r="AJ38" s="35">
        <v>-60418</v>
      </c>
      <c r="AK38" s="25"/>
      <c r="AL38" s="35">
        <v>-60418</v>
      </c>
      <c r="AM38" s="2"/>
      <c r="AN38" s="10"/>
      <c r="AO38" s="10"/>
      <c r="AP38" s="13"/>
    </row>
    <row r="39" spans="1:42" ht="16.5" thickBot="1" x14ac:dyDescent="0.3">
      <c r="A39" s="70"/>
      <c r="B39" s="14"/>
      <c r="C39" s="14"/>
      <c r="F39" s="97"/>
      <c r="G39" s="98"/>
      <c r="H39" s="90"/>
      <c r="I39" s="92"/>
      <c r="S39" s="2" t="s">
        <v>185</v>
      </c>
      <c r="T39" s="124">
        <v>-14000</v>
      </c>
      <c r="U39" s="25"/>
      <c r="V39" s="105">
        <v>-13842.07</v>
      </c>
      <c r="W39" s="25"/>
      <c r="X39" s="124">
        <v>-14000</v>
      </c>
      <c r="Y39" s="25"/>
      <c r="Z39" s="105">
        <v>-13842.07</v>
      </c>
      <c r="AA39" s="25"/>
      <c r="AB39" s="125">
        <v>-10000</v>
      </c>
      <c r="AC39" s="25"/>
      <c r="AD39" s="105">
        <f>-4938</f>
        <v>-4938</v>
      </c>
      <c r="AE39" s="25"/>
      <c r="AF39" s="42"/>
      <c r="AG39" s="25"/>
      <c r="AH39" s="42"/>
      <c r="AI39" s="25"/>
      <c r="AJ39" s="42"/>
      <c r="AK39" s="25"/>
      <c r="AL39" s="42"/>
      <c r="AM39" s="2"/>
      <c r="AN39" s="10"/>
      <c r="AO39" s="10"/>
      <c r="AP39" s="13"/>
    </row>
    <row r="40" spans="1:42" ht="17.25" thickTop="1" thickBot="1" x14ac:dyDescent="0.3">
      <c r="A40" s="70"/>
      <c r="B40" s="14"/>
      <c r="C40" s="14"/>
      <c r="F40" s="97"/>
      <c r="G40" s="98"/>
      <c r="H40" s="90"/>
      <c r="I40" s="92"/>
      <c r="S40" s="17" t="s">
        <v>55</v>
      </c>
      <c r="T40" s="130">
        <f>SUM(T38:T39)</f>
        <v>-74418</v>
      </c>
      <c r="U40" s="24"/>
      <c r="V40" s="127">
        <f>SUM(V38:V39)</f>
        <v>-74260.070000000007</v>
      </c>
      <c r="W40" s="24"/>
      <c r="X40" s="130">
        <f>SUM(X38:X39)</f>
        <v>-74418</v>
      </c>
      <c r="Y40" s="24"/>
      <c r="Z40" s="127">
        <f>SUM(Z38:Z39)</f>
        <v>-74260.070000000007</v>
      </c>
      <c r="AA40" s="24"/>
      <c r="AB40" s="10">
        <f>SUM(AB38:AB39)</f>
        <v>-70418</v>
      </c>
      <c r="AC40" s="24"/>
      <c r="AD40" s="127">
        <f>SUM(AD38:AD39)</f>
        <v>-65356</v>
      </c>
      <c r="AE40" s="24"/>
      <c r="AF40" s="33">
        <f>+AF38</f>
        <v>-60418</v>
      </c>
      <c r="AG40" s="24"/>
      <c r="AH40" s="33">
        <f>+AH38</f>
        <v>-60418</v>
      </c>
      <c r="AI40" s="24"/>
      <c r="AJ40" s="33">
        <f>+AJ38</f>
        <v>-60418</v>
      </c>
      <c r="AK40" s="24"/>
      <c r="AL40" s="33">
        <f>+AL38</f>
        <v>-60418</v>
      </c>
      <c r="AM40" s="17"/>
      <c r="AN40" s="42">
        <v>-48168</v>
      </c>
      <c r="AO40" s="27"/>
      <c r="AP40" s="42">
        <v>-45718</v>
      </c>
    </row>
    <row r="41" spans="1:42" ht="16.5" thickTop="1" x14ac:dyDescent="0.25">
      <c r="A41" s="70"/>
      <c r="B41" s="14"/>
      <c r="C41" s="14"/>
      <c r="F41" s="97"/>
      <c r="G41" s="98"/>
      <c r="H41" s="90"/>
      <c r="I41" s="92"/>
      <c r="S41" s="2"/>
      <c r="T41" s="123"/>
      <c r="U41" s="25"/>
      <c r="V41" s="104"/>
      <c r="W41" s="25"/>
      <c r="X41" s="123"/>
      <c r="Y41" s="25"/>
      <c r="Z41" s="104"/>
      <c r="AA41" s="25"/>
      <c r="AB41" s="121"/>
      <c r="AC41" s="25"/>
      <c r="AD41" s="104"/>
      <c r="AE41" s="25"/>
      <c r="AF41" s="35"/>
      <c r="AG41" s="25"/>
      <c r="AH41" s="35"/>
      <c r="AI41" s="25"/>
      <c r="AJ41" s="35"/>
      <c r="AK41" s="25"/>
      <c r="AL41" s="35"/>
      <c r="AM41" s="2"/>
      <c r="AN41" s="33">
        <f>+AN40</f>
        <v>-48168</v>
      </c>
      <c r="AO41" s="34"/>
      <c r="AP41" s="16">
        <f>SUM(AP40:AP40)</f>
        <v>-45718</v>
      </c>
    </row>
    <row r="42" spans="1:42" ht="15.75" x14ac:dyDescent="0.25">
      <c r="A42" s="70">
        <v>6723</v>
      </c>
      <c r="B42" s="14">
        <f>1302+4874+4806</f>
        <v>10982</v>
      </c>
      <c r="C42" s="14">
        <f>13480-3073</f>
        <v>10407</v>
      </c>
      <c r="F42" s="97" t="s">
        <v>128</v>
      </c>
      <c r="G42" s="98"/>
      <c r="H42" s="99">
        <v>25</v>
      </c>
      <c r="I42" s="92">
        <v>0.04</v>
      </c>
      <c r="J42" t="s">
        <v>129</v>
      </c>
      <c r="S42" s="19" t="s">
        <v>57</v>
      </c>
      <c r="T42" s="179">
        <v>0</v>
      </c>
      <c r="U42" s="24"/>
      <c r="V42" s="131">
        <v>0</v>
      </c>
      <c r="W42" s="24"/>
      <c r="X42" s="179">
        <v>0</v>
      </c>
      <c r="Y42" s="24"/>
      <c r="Z42" s="131">
        <v>0</v>
      </c>
      <c r="AA42" s="24"/>
      <c r="AB42" s="122">
        <v>0</v>
      </c>
      <c r="AC42" s="24"/>
      <c r="AD42" s="131">
        <v>0</v>
      </c>
      <c r="AE42" s="24"/>
      <c r="AF42" s="32">
        <v>0</v>
      </c>
      <c r="AG42" s="24"/>
      <c r="AH42" s="32">
        <v>0</v>
      </c>
      <c r="AI42" s="24"/>
      <c r="AJ42" s="32">
        <v>0</v>
      </c>
      <c r="AK42" s="24"/>
      <c r="AL42" s="32">
        <v>0</v>
      </c>
      <c r="AM42" s="19"/>
      <c r="AN42" s="35"/>
      <c r="AO42" s="27"/>
      <c r="AP42" s="4"/>
    </row>
    <row r="43" spans="1:42" ht="15.75" x14ac:dyDescent="0.25">
      <c r="A43" s="70"/>
      <c r="B43" s="14"/>
      <c r="C43" s="14"/>
      <c r="F43" s="97"/>
      <c r="G43" s="98"/>
      <c r="H43" s="99"/>
      <c r="I43" s="92"/>
      <c r="S43" s="2"/>
      <c r="T43" s="163"/>
      <c r="U43" s="25"/>
      <c r="V43" s="104"/>
      <c r="W43" s="25"/>
      <c r="X43" s="163"/>
      <c r="Y43" s="25"/>
      <c r="Z43" s="104"/>
      <c r="AA43" s="25"/>
      <c r="AB43" s="121"/>
      <c r="AC43" s="25"/>
      <c r="AD43" s="104"/>
      <c r="AE43" s="25"/>
      <c r="AF43" s="35"/>
      <c r="AG43" s="25"/>
      <c r="AH43" s="35"/>
      <c r="AI43" s="25"/>
      <c r="AJ43" s="35"/>
      <c r="AK43" s="25"/>
      <c r="AL43" s="35"/>
      <c r="AM43" s="2"/>
      <c r="AN43" s="32">
        <v>0</v>
      </c>
      <c r="AO43" s="27"/>
      <c r="AP43" s="32">
        <v>0</v>
      </c>
    </row>
    <row r="44" spans="1:42" ht="18.75" x14ac:dyDescent="0.3">
      <c r="A44" s="70">
        <v>3206</v>
      </c>
      <c r="B44" s="14">
        <v>3138</v>
      </c>
      <c r="C44" s="14">
        <v>3073</v>
      </c>
      <c r="F44" s="90" t="s">
        <v>96</v>
      </c>
      <c r="G44" s="90"/>
      <c r="H44" s="90">
        <v>50</v>
      </c>
      <c r="I44" s="92">
        <f>1/H44</f>
        <v>0.02</v>
      </c>
      <c r="S44" s="20" t="s">
        <v>46</v>
      </c>
      <c r="T44" s="178">
        <f>+T42+T40+T33+T28+T24+T8</f>
        <v>-67498</v>
      </c>
      <c r="U44" s="182"/>
      <c r="V44" s="132">
        <f>+V42+V40+V33+V28+V24+V8</f>
        <v>-49508.070000000007</v>
      </c>
      <c r="W44" s="182"/>
      <c r="X44" s="178">
        <f>+X42+X40+X33+X28+X24+X8</f>
        <v>-66498</v>
      </c>
      <c r="Y44" s="182"/>
      <c r="Z44" s="132">
        <f>+Z42+Z40+Z33+Z28+Z24+Z8</f>
        <v>-97237.57</v>
      </c>
      <c r="AA44" s="182"/>
      <c r="AB44" s="9">
        <f>+AB42+AB40+AB33+AB28+AB24+AB8</f>
        <v>-40198</v>
      </c>
      <c r="AC44" s="182"/>
      <c r="AD44" s="132">
        <f>+AD42+AD40+AD33+AD28+AD24+AD8</f>
        <v>-27156</v>
      </c>
      <c r="AE44" s="182"/>
      <c r="AF44" s="16">
        <f>+AF42+AF40+AF33+AF28+AF24+AF8</f>
        <v>-22681.5</v>
      </c>
      <c r="AG44" s="182"/>
      <c r="AH44" s="16">
        <f>+AH42+AH40+AH33+AH28+AH24+AH8</f>
        <v>-27458.630000000005</v>
      </c>
      <c r="AI44" s="182"/>
      <c r="AJ44" s="16">
        <f>+AJ42+AJ40+AJ33+AJ28+AJ24+AJ8</f>
        <v>-103957</v>
      </c>
      <c r="AK44" s="182"/>
      <c r="AL44" s="16">
        <f>+AL42+AL40+AL33+AL28+AL24+AL8</f>
        <v>-10616</v>
      </c>
      <c r="AM44" s="20"/>
      <c r="AN44" s="35"/>
      <c r="AO44" s="27"/>
      <c r="AP44" s="4"/>
    </row>
    <row r="45" spans="1:42" ht="15.75" x14ac:dyDescent="0.25">
      <c r="A45" s="64"/>
      <c r="B45" s="14">
        <v>1125</v>
      </c>
      <c r="C45" s="14"/>
      <c r="F45" s="90" t="s">
        <v>96</v>
      </c>
      <c r="G45" s="90"/>
      <c r="H45" s="90">
        <v>100</v>
      </c>
      <c r="I45" s="92">
        <f>1/H45</f>
        <v>0.01</v>
      </c>
      <c r="S45" s="2"/>
      <c r="T45" s="161"/>
      <c r="U45" s="2"/>
      <c r="V45" s="135"/>
      <c r="W45" s="2"/>
      <c r="X45" s="161"/>
      <c r="Y45" s="2"/>
      <c r="Z45" s="135"/>
      <c r="AA45" s="2"/>
      <c r="AB45" s="2"/>
      <c r="AC45" s="2"/>
      <c r="AD45" s="35"/>
      <c r="AE45" s="2"/>
      <c r="AF45" s="35"/>
      <c r="AG45" s="2"/>
      <c r="AH45" s="35"/>
      <c r="AI45" s="2"/>
      <c r="AJ45" s="35"/>
      <c r="AN45" s="16">
        <f>+AN43+AN41+AN33+AN30+AN28+AN8</f>
        <v>-13668</v>
      </c>
      <c r="AO45" s="16"/>
      <c r="AP45" s="16">
        <f>+AP43+AP41+AP33+AP30+AP28+AP8</f>
        <v>30987</v>
      </c>
    </row>
    <row r="46" spans="1:42" x14ac:dyDescent="0.25">
      <c r="A46" s="64"/>
      <c r="B46" s="14">
        <v>3200</v>
      </c>
      <c r="C46" s="14"/>
      <c r="F46" s="90" t="s">
        <v>96</v>
      </c>
      <c r="G46" s="90"/>
      <c r="H46" s="90">
        <v>200</v>
      </c>
      <c r="I46" s="92">
        <f>1/H46</f>
        <v>5.0000000000000001E-3</v>
      </c>
    </row>
    <row r="47" spans="1:42" ht="15.75" thickBot="1" x14ac:dyDescent="0.3">
      <c r="A47" s="101">
        <f>SUM(A38:A46)</f>
        <v>21514</v>
      </c>
      <c r="B47" s="101">
        <f>SUM(B38:B46)</f>
        <v>30030</v>
      </c>
      <c r="C47" s="101">
        <f>SUM(C38:C46)</f>
        <v>25065</v>
      </c>
      <c r="I47" s="100"/>
    </row>
    <row r="48" spans="1:42" ht="15.75" thickTop="1" x14ac:dyDescent="0.25"/>
    <row r="50" spans="1:3" x14ac:dyDescent="0.25">
      <c r="B50" s="87"/>
      <c r="C50" s="87"/>
    </row>
    <row r="51" spans="1:3" x14ac:dyDescent="0.25">
      <c r="A51" s="14">
        <v>10080000</v>
      </c>
      <c r="B51" s="14">
        <v>10080000</v>
      </c>
      <c r="C51" s="14">
        <v>10080000</v>
      </c>
    </row>
  </sheetData>
  <mergeCells count="2">
    <mergeCell ref="A3:C3"/>
    <mergeCell ref="K4:K5"/>
  </mergeCells>
  <pageMargins left="0.7" right="0.7" top="0.75" bottom="0.75" header="0.3" footer="0.3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4"/>
  <sheetViews>
    <sheetView zoomScaleNormal="100" workbookViewId="0">
      <selection activeCell="D7" sqref="D7:E40"/>
    </sheetView>
  </sheetViews>
  <sheetFormatPr defaultColWidth="9.140625" defaultRowHeight="15.75" x14ac:dyDescent="0.25"/>
  <cols>
    <col min="1" max="1" width="42.28515625" style="2" customWidth="1"/>
    <col min="2" max="2" width="8.85546875" style="2" customWidth="1"/>
    <col min="3" max="3" width="16" style="35" customWidth="1"/>
    <col min="4" max="4" width="6" style="2" customWidth="1"/>
    <col min="5" max="5" width="16" style="35" customWidth="1"/>
    <col min="6" max="6" width="8.28515625" style="27" hidden="1" customWidth="1"/>
    <col min="7" max="7" width="15" style="2" hidden="1" customWidth="1"/>
    <col min="8" max="8" width="1.5703125" style="2" customWidth="1"/>
    <col min="9" max="9" width="3.28515625" style="2" customWidth="1"/>
    <col min="10" max="10" width="40.7109375" style="2" customWidth="1"/>
    <col min="11" max="11" width="12.28515625" style="2" customWidth="1"/>
    <col min="12" max="12" width="15.85546875" style="4" customWidth="1"/>
    <col min="13" max="13" width="12.28515625" style="2" customWidth="1"/>
    <col min="14" max="14" width="15.85546875" style="4" customWidth="1"/>
    <col min="15" max="15" width="13.28515625" style="4" hidden="1" customWidth="1"/>
    <col min="16" max="16" width="15.85546875" style="2" hidden="1" customWidth="1"/>
    <col min="17" max="17" width="2" style="2" customWidth="1"/>
    <col min="18" max="18" width="8.85546875" style="2" bestFit="1" customWidth="1"/>
    <col min="19" max="20" width="9.140625" style="2"/>
    <col min="21" max="21" width="13.85546875" style="2" customWidth="1"/>
    <col min="22" max="16384" width="9.140625" style="2"/>
  </cols>
  <sheetData>
    <row r="1" spans="1:27" ht="21" x14ac:dyDescent="0.35">
      <c r="A1" s="1" t="s">
        <v>0</v>
      </c>
      <c r="B1" s="1"/>
      <c r="C1" s="32"/>
      <c r="D1" s="1"/>
      <c r="E1" s="32"/>
      <c r="J1" s="1" t="s">
        <v>1</v>
      </c>
      <c r="K1" s="1"/>
      <c r="L1" s="18"/>
      <c r="M1" s="1"/>
      <c r="N1" s="18"/>
      <c r="O1" s="18"/>
    </row>
    <row r="2" spans="1:27" ht="18.75" x14ac:dyDescent="0.3">
      <c r="A2" s="3" t="s">
        <v>2</v>
      </c>
      <c r="B2" s="3"/>
      <c r="D2" s="3"/>
      <c r="J2" s="3" t="s">
        <v>2</v>
      </c>
      <c r="K2" s="3"/>
      <c r="M2" s="3"/>
    </row>
    <row r="3" spans="1:27" x14ac:dyDescent="0.25">
      <c r="A3" s="4" t="s">
        <v>3</v>
      </c>
      <c r="B3" s="4"/>
      <c r="D3" s="4"/>
      <c r="J3" s="4" t="s">
        <v>3</v>
      </c>
      <c r="K3" s="4"/>
      <c r="M3" s="4"/>
    </row>
    <row r="4" spans="1:27" x14ac:dyDescent="0.25">
      <c r="A4" s="4" t="s">
        <v>142</v>
      </c>
      <c r="B4" s="4"/>
      <c r="D4" s="4"/>
      <c r="J4" s="5" t="s">
        <v>143</v>
      </c>
      <c r="K4" s="5"/>
      <c r="L4" s="5"/>
      <c r="M4" s="5"/>
      <c r="N4" s="5"/>
      <c r="O4" s="5"/>
    </row>
    <row r="5" spans="1:27" x14ac:dyDescent="0.25">
      <c r="J5" s="6"/>
      <c r="K5" s="6"/>
      <c r="L5" s="6"/>
      <c r="M5" s="6"/>
      <c r="N5" s="6"/>
      <c r="O5" s="6"/>
    </row>
    <row r="6" spans="1:27" ht="18.75" x14ac:dyDescent="0.3">
      <c r="A6" s="7" t="s">
        <v>6</v>
      </c>
      <c r="B6" s="7"/>
      <c r="C6" s="32"/>
      <c r="D6" s="7"/>
      <c r="E6" s="32"/>
      <c r="J6" s="7" t="s">
        <v>7</v>
      </c>
      <c r="K6" s="7"/>
      <c r="L6" s="18"/>
      <c r="M6" s="7"/>
      <c r="N6" s="18"/>
      <c r="O6" s="18"/>
      <c r="Q6" s="8"/>
    </row>
    <row r="7" spans="1:27" ht="18.75" x14ac:dyDescent="0.3">
      <c r="A7" s="9" t="s">
        <v>8</v>
      </c>
      <c r="B7" s="9"/>
      <c r="C7" s="10" t="s">
        <v>141</v>
      </c>
      <c r="D7" s="9"/>
      <c r="E7" s="10" t="s">
        <v>133</v>
      </c>
      <c r="F7" s="10"/>
      <c r="G7" s="10" t="s">
        <v>119</v>
      </c>
      <c r="H7" s="32"/>
      <c r="J7" s="11" t="s">
        <v>10</v>
      </c>
      <c r="K7" s="11"/>
      <c r="L7" s="102" t="s">
        <v>144</v>
      </c>
      <c r="M7" s="11"/>
      <c r="N7" s="102" t="s">
        <v>145</v>
      </c>
      <c r="O7" s="26"/>
      <c r="P7" s="26" t="s">
        <v>120</v>
      </c>
      <c r="Q7" s="13"/>
      <c r="R7" s="14"/>
    </row>
    <row r="8" spans="1:27" s="14" customFormat="1" x14ac:dyDescent="0.25">
      <c r="A8" s="2" t="s">
        <v>11</v>
      </c>
      <c r="B8" s="2"/>
      <c r="C8" s="35">
        <v>139020</v>
      </c>
      <c r="D8" s="2"/>
      <c r="E8" s="35">
        <v>139020</v>
      </c>
      <c r="F8" s="28"/>
      <c r="G8" s="35">
        <v>139020</v>
      </c>
      <c r="H8" s="4"/>
      <c r="I8" s="2"/>
      <c r="J8" s="2" t="s">
        <v>12</v>
      </c>
      <c r="K8" s="2" t="s">
        <v>66</v>
      </c>
      <c r="L8" s="4">
        <f>8964890-522611</f>
        <v>8442279</v>
      </c>
      <c r="M8" s="2"/>
      <c r="N8" s="4">
        <f>8964890-462193</f>
        <v>8502697</v>
      </c>
      <c r="O8" s="4"/>
      <c r="P8" s="4">
        <v>8563115</v>
      </c>
      <c r="Q8" s="4"/>
      <c r="R8" s="2"/>
    </row>
    <row r="9" spans="1:27" s="14" customFormat="1" ht="16.5" thickBot="1" x14ac:dyDescent="0.3">
      <c r="A9" s="16" t="s">
        <v>15</v>
      </c>
      <c r="B9" s="16"/>
      <c r="C9" s="33">
        <v>139020</v>
      </c>
      <c r="D9" s="16"/>
      <c r="E9" s="33">
        <v>139020</v>
      </c>
      <c r="F9" s="29"/>
      <c r="G9" s="16">
        <v>139020</v>
      </c>
      <c r="H9" s="4"/>
      <c r="I9" s="2"/>
      <c r="J9" s="2" t="s">
        <v>14</v>
      </c>
      <c r="K9" s="2" t="s">
        <v>88</v>
      </c>
      <c r="L9" s="15">
        <v>1542051</v>
      </c>
      <c r="M9" s="2"/>
      <c r="N9" s="15">
        <v>1542051</v>
      </c>
      <c r="O9" s="15"/>
      <c r="P9" s="15">
        <v>1542051</v>
      </c>
      <c r="Q9" s="15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6.5" thickTop="1" x14ac:dyDescent="0.25">
      <c r="A10" s="23"/>
      <c r="B10" s="23"/>
      <c r="C10" s="36"/>
      <c r="D10" s="23"/>
      <c r="E10" s="36"/>
      <c r="F10" s="30"/>
      <c r="G10" s="23"/>
      <c r="H10" s="18"/>
      <c r="J10" s="17" t="s">
        <v>16</v>
      </c>
      <c r="K10" s="17"/>
      <c r="L10" s="16">
        <f>L8+L9</f>
        <v>9984330</v>
      </c>
      <c r="M10" s="17"/>
      <c r="N10" s="16">
        <f>N8+N9</f>
        <v>10044748</v>
      </c>
      <c r="O10" s="16"/>
      <c r="P10" s="16">
        <v>10105166</v>
      </c>
      <c r="Q10" s="16"/>
    </row>
    <row r="11" spans="1:27" s="25" customFormat="1" x14ac:dyDescent="0.25">
      <c r="A11" s="18"/>
      <c r="B11" s="18"/>
      <c r="C11" s="32"/>
      <c r="D11" s="18"/>
      <c r="E11" s="32"/>
      <c r="F11" s="31"/>
      <c r="G11" s="18"/>
      <c r="H11" s="18"/>
      <c r="J11" s="24"/>
      <c r="K11" s="24"/>
      <c r="L11" s="23"/>
      <c r="M11" s="24"/>
      <c r="N11" s="23"/>
      <c r="O11" s="23"/>
      <c r="P11" s="23"/>
      <c r="Q11" s="23"/>
    </row>
    <row r="12" spans="1:27" ht="18.75" x14ac:dyDescent="0.3">
      <c r="A12" s="7" t="s">
        <v>17</v>
      </c>
      <c r="B12" s="7"/>
      <c r="C12" s="32"/>
      <c r="D12" s="7"/>
      <c r="E12" s="32"/>
      <c r="G12" s="4"/>
      <c r="H12" s="18"/>
      <c r="J12" s="11" t="s">
        <v>19</v>
      </c>
      <c r="K12" s="11"/>
      <c r="L12" s="9"/>
      <c r="M12" s="11"/>
      <c r="N12" s="9"/>
      <c r="O12" s="9"/>
      <c r="P12" s="13"/>
      <c r="Q12" s="13"/>
    </row>
    <row r="13" spans="1:27" s="14" customFormat="1" x14ac:dyDescent="0.25">
      <c r="A13" s="9" t="s">
        <v>18</v>
      </c>
      <c r="B13" s="9"/>
      <c r="C13" s="10"/>
      <c r="D13" s="9"/>
      <c r="E13" s="10"/>
      <c r="F13" s="10"/>
      <c r="G13" s="13"/>
      <c r="H13" s="4"/>
      <c r="I13" s="2"/>
      <c r="J13" s="2" t="s">
        <v>21</v>
      </c>
      <c r="K13" s="2"/>
      <c r="L13" s="4">
        <v>30802</v>
      </c>
      <c r="M13" s="2"/>
      <c r="N13" s="4">
        <v>82857</v>
      </c>
      <c r="O13" s="4"/>
      <c r="P13" s="4">
        <v>28090</v>
      </c>
      <c r="Q13" s="4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14" customFormat="1" x14ac:dyDescent="0.25">
      <c r="A14" s="2" t="s">
        <v>24</v>
      </c>
      <c r="B14" s="2"/>
      <c r="C14" s="35">
        <f>-55525-19208-3662-600</f>
        <v>-78995</v>
      </c>
      <c r="D14" s="2"/>
      <c r="E14" s="35">
        <v>-3106</v>
      </c>
      <c r="F14" s="28"/>
      <c r="G14" s="35">
        <v>-26444</v>
      </c>
      <c r="H14" s="4"/>
      <c r="I14" s="2"/>
      <c r="J14" s="2" t="s">
        <v>23</v>
      </c>
      <c r="K14" s="2"/>
      <c r="L14" s="4">
        <v>0</v>
      </c>
      <c r="M14" s="2"/>
      <c r="N14" s="4">
        <v>0</v>
      </c>
      <c r="O14" s="4"/>
      <c r="P14" s="4">
        <v>0</v>
      </c>
      <c r="Q14" s="4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4" customFormat="1" x14ac:dyDescent="0.25">
      <c r="A15" s="2" t="s">
        <v>26</v>
      </c>
      <c r="B15" s="2"/>
      <c r="C15" s="35">
        <v>-9750</v>
      </c>
      <c r="D15" s="2"/>
      <c r="E15" s="35">
        <v>-9182</v>
      </c>
      <c r="F15" s="28"/>
      <c r="G15" s="35">
        <v>-10002</v>
      </c>
      <c r="H15" s="4"/>
      <c r="I15" s="2"/>
      <c r="J15" s="17" t="s">
        <v>25</v>
      </c>
      <c r="K15" s="17"/>
      <c r="L15" s="16">
        <f>L13+L14</f>
        <v>30802</v>
      </c>
      <c r="M15" s="17"/>
      <c r="N15" s="16">
        <f>N13+N14</f>
        <v>82857</v>
      </c>
      <c r="O15" s="16"/>
      <c r="P15" s="16">
        <v>28090</v>
      </c>
      <c r="Q15" s="16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14" customFormat="1" x14ac:dyDescent="0.25">
      <c r="A16" s="2" t="s">
        <v>27</v>
      </c>
      <c r="B16" s="2"/>
      <c r="C16" s="35">
        <v>-6979</v>
      </c>
      <c r="D16" s="2"/>
      <c r="E16" s="35">
        <v>-11899</v>
      </c>
      <c r="F16" s="28"/>
      <c r="G16" s="35">
        <v>-7102</v>
      </c>
      <c r="H16" s="4"/>
      <c r="I16" s="2"/>
      <c r="J16" s="19"/>
      <c r="K16" s="19"/>
      <c r="L16" s="18"/>
      <c r="M16" s="19"/>
      <c r="N16" s="18"/>
      <c r="O16" s="18"/>
      <c r="P16" s="18"/>
      <c r="Q16" s="18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30" s="14" customFormat="1" ht="18.75" x14ac:dyDescent="0.3">
      <c r="A17" s="2" t="s">
        <v>29</v>
      </c>
      <c r="B17" s="2"/>
      <c r="C17" s="35">
        <v>-41525</v>
      </c>
      <c r="D17" s="2"/>
      <c r="E17" s="35">
        <v>-36224</v>
      </c>
      <c r="F17" s="28"/>
      <c r="G17" s="35">
        <v>-38929</v>
      </c>
      <c r="H17" s="4"/>
      <c r="I17" s="2"/>
      <c r="J17" s="20" t="s">
        <v>28</v>
      </c>
      <c r="K17" s="20"/>
      <c r="L17" s="16">
        <f>+L10+L15</f>
        <v>10015132</v>
      </c>
      <c r="M17" s="20"/>
      <c r="N17" s="16">
        <f>+N10+N15</f>
        <v>10127605</v>
      </c>
      <c r="O17" s="16"/>
      <c r="P17" s="16">
        <v>10133256</v>
      </c>
      <c r="Q17" s="16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0" s="14" customFormat="1" ht="18.75" x14ac:dyDescent="0.3">
      <c r="A18" s="2" t="s">
        <v>30</v>
      </c>
      <c r="B18" s="2"/>
      <c r="C18" s="35">
        <v>-8322</v>
      </c>
      <c r="D18" s="2"/>
      <c r="E18" s="35">
        <v>-8399</v>
      </c>
      <c r="F18" s="28"/>
      <c r="G18" s="35">
        <v>-8540</v>
      </c>
      <c r="H18" s="4"/>
      <c r="I18" s="2"/>
      <c r="J18" s="7"/>
      <c r="K18" s="7"/>
      <c r="L18" s="18"/>
      <c r="M18" s="7"/>
      <c r="N18" s="18"/>
      <c r="O18" s="18"/>
      <c r="P18" s="18"/>
      <c r="Q18" s="18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30" s="14" customFormat="1" x14ac:dyDescent="0.25">
      <c r="A19" s="2" t="s">
        <v>31</v>
      </c>
      <c r="B19" s="2"/>
      <c r="C19" s="35">
        <v>-6137</v>
      </c>
      <c r="D19" s="2"/>
      <c r="E19" s="35">
        <v>-5683</v>
      </c>
      <c r="F19" s="28"/>
      <c r="G19" s="35">
        <v>-5427</v>
      </c>
      <c r="H19" s="4"/>
      <c r="I19" s="2"/>
      <c r="L19" s="4"/>
      <c r="N19" s="4"/>
      <c r="O19" s="4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30" s="14" customFormat="1" x14ac:dyDescent="0.25">
      <c r="A20" s="2" t="s">
        <v>32</v>
      </c>
      <c r="B20" s="2"/>
      <c r="C20" s="35">
        <v>-5307</v>
      </c>
      <c r="D20" s="2"/>
      <c r="E20" s="35">
        <v>-2023</v>
      </c>
      <c r="F20" s="28"/>
      <c r="G20" s="35">
        <v>-131</v>
      </c>
      <c r="H20" s="4"/>
      <c r="I20" s="2"/>
      <c r="L20" s="4"/>
      <c r="N20" s="4"/>
      <c r="O20" s="4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30" s="14" customFormat="1" x14ac:dyDescent="0.25">
      <c r="A21" s="2" t="s">
        <v>33</v>
      </c>
      <c r="B21" s="2"/>
      <c r="C21" s="35">
        <v>-11785</v>
      </c>
      <c r="D21" s="2"/>
      <c r="E21" s="35">
        <f>-1097-648</f>
        <v>-1745</v>
      </c>
      <c r="F21" s="28"/>
      <c r="G21" s="35">
        <v>-1757</v>
      </c>
      <c r="H21" s="4"/>
      <c r="I21" s="2"/>
      <c r="L21" s="4"/>
      <c r="N21" s="4"/>
      <c r="O21" s="4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0" s="14" customFormat="1" ht="18.75" x14ac:dyDescent="0.3">
      <c r="A22" s="2" t="s">
        <v>35</v>
      </c>
      <c r="B22" s="2"/>
      <c r="C22" s="35">
        <v>-6553</v>
      </c>
      <c r="D22" s="2"/>
      <c r="E22" s="35">
        <v>-1453</v>
      </c>
      <c r="F22" s="28"/>
      <c r="G22" s="35">
        <v>0</v>
      </c>
      <c r="H22" s="4"/>
      <c r="I22" s="2"/>
      <c r="J22" s="7" t="s">
        <v>34</v>
      </c>
      <c r="K22" s="7"/>
      <c r="L22" s="18"/>
      <c r="M22" s="7"/>
      <c r="N22" s="18"/>
      <c r="O22" s="18"/>
      <c r="P22" s="4"/>
      <c r="Q22" s="4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30" s="14" customFormat="1" x14ac:dyDescent="0.25">
      <c r="A23" s="2" t="s">
        <v>37</v>
      </c>
      <c r="B23" s="2"/>
      <c r="C23" s="35">
        <v>-2858</v>
      </c>
      <c r="D23" s="2"/>
      <c r="E23" s="35">
        <f>-3200-2252</f>
        <v>-5452</v>
      </c>
      <c r="F23" s="28"/>
      <c r="G23" s="35">
        <v>-3252</v>
      </c>
      <c r="H23" s="4"/>
      <c r="I23" s="2"/>
      <c r="J23" s="11" t="s">
        <v>36</v>
      </c>
      <c r="K23" s="11"/>
      <c r="L23" s="9"/>
      <c r="M23" s="11"/>
      <c r="N23" s="9"/>
      <c r="O23" s="9"/>
      <c r="P23" s="9"/>
      <c r="Q23" s="1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30" s="14" customFormat="1" ht="16.5" thickBot="1" x14ac:dyDescent="0.3">
      <c r="A24" s="2" t="s">
        <v>39</v>
      </c>
      <c r="B24" s="2"/>
      <c r="C24" s="42">
        <v>-1142</v>
      </c>
      <c r="D24" s="2"/>
      <c r="E24" s="42">
        <v>-914</v>
      </c>
      <c r="F24" s="28"/>
      <c r="G24" s="42">
        <v>-1165</v>
      </c>
      <c r="H24" s="4"/>
      <c r="I24" s="2"/>
      <c r="J24" s="2" t="s">
        <v>38</v>
      </c>
      <c r="K24" s="2" t="s">
        <v>100</v>
      </c>
      <c r="L24" s="15">
        <v>10080000</v>
      </c>
      <c r="M24" s="2"/>
      <c r="N24" s="15">
        <v>10080000</v>
      </c>
      <c r="O24" s="15"/>
      <c r="P24" s="15">
        <v>10080000</v>
      </c>
      <c r="Q24" s="4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0" s="14" customFormat="1" ht="16.5" thickTop="1" x14ac:dyDescent="0.25">
      <c r="A25" s="16" t="s">
        <v>41</v>
      </c>
      <c r="B25" s="16"/>
      <c r="C25" s="33">
        <f>SUM(C14:C24)</f>
        <v>-179353</v>
      </c>
      <c r="D25" s="16"/>
      <c r="E25" s="33">
        <f>SUM(E14:E24)</f>
        <v>-86080</v>
      </c>
      <c r="F25" s="33"/>
      <c r="G25" s="16">
        <v>-102749</v>
      </c>
      <c r="H25" s="4"/>
      <c r="I25" s="2"/>
      <c r="J25" s="17" t="s">
        <v>40</v>
      </c>
      <c r="K25" s="17"/>
      <c r="L25" s="16">
        <v>10080000</v>
      </c>
      <c r="M25" s="17"/>
      <c r="N25" s="16">
        <v>10080000</v>
      </c>
      <c r="O25" s="16"/>
      <c r="P25" s="16">
        <v>10080000</v>
      </c>
      <c r="Q25" s="16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30" s="14" customFormat="1" x14ac:dyDescent="0.25">
      <c r="A26" s="23"/>
      <c r="B26" s="23"/>
      <c r="C26" s="36"/>
      <c r="D26" s="23"/>
      <c r="E26" s="36"/>
      <c r="F26" s="36"/>
      <c r="G26" s="23"/>
      <c r="H26" s="4"/>
      <c r="I26" s="2"/>
      <c r="J26" s="2"/>
      <c r="K26" s="2"/>
      <c r="L26" s="4"/>
      <c r="M26" s="2"/>
      <c r="N26" s="4"/>
      <c r="O26" s="4"/>
      <c r="P26" s="4"/>
      <c r="Q26" s="4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30" s="14" customFormat="1" x14ac:dyDescent="0.25">
      <c r="A27" s="38" t="s">
        <v>62</v>
      </c>
      <c r="B27" s="38"/>
      <c r="C27" s="39">
        <v>-3170</v>
      </c>
      <c r="D27" s="38"/>
      <c r="E27" s="39">
        <v>-3105</v>
      </c>
      <c r="F27" s="39"/>
      <c r="G27" s="39">
        <v>-3040</v>
      </c>
      <c r="H27" s="4"/>
      <c r="I27" s="2"/>
      <c r="J27" s="25"/>
      <c r="K27" s="25"/>
      <c r="L27" s="37"/>
      <c r="M27" s="25"/>
      <c r="N27" s="37"/>
      <c r="O27" s="37"/>
      <c r="P27" s="37"/>
      <c r="Q27" s="37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30" x14ac:dyDescent="0.25">
      <c r="A28" s="14"/>
      <c r="B28" s="14"/>
      <c r="D28" s="14"/>
      <c r="F28" s="28"/>
      <c r="G28" s="22"/>
      <c r="H28" s="18"/>
      <c r="J28" s="25"/>
      <c r="K28" s="25"/>
      <c r="L28" s="37"/>
      <c r="M28" s="25"/>
      <c r="N28" s="37"/>
      <c r="O28" s="37"/>
      <c r="P28" s="37"/>
      <c r="Q28" s="40"/>
    </row>
    <row r="29" spans="1:30" s="25" customFormat="1" x14ac:dyDescent="0.25">
      <c r="A29" s="9" t="s">
        <v>43</v>
      </c>
      <c r="B29" s="9"/>
      <c r="C29" s="10"/>
      <c r="D29" s="9"/>
      <c r="E29" s="10"/>
      <c r="F29" s="10"/>
      <c r="G29" s="13"/>
      <c r="H29" s="18"/>
      <c r="J29" s="11" t="s">
        <v>42</v>
      </c>
      <c r="K29" s="11"/>
      <c r="L29" s="9"/>
      <c r="M29" s="11"/>
      <c r="N29" s="9"/>
      <c r="O29" s="9"/>
      <c r="P29" s="13"/>
      <c r="Q29" s="13"/>
    </row>
    <row r="30" spans="1:30" s="41" customFormat="1" x14ac:dyDescent="0.25">
      <c r="A30" s="2" t="s">
        <v>45</v>
      </c>
      <c r="B30" s="2"/>
      <c r="C30" s="35">
        <v>0</v>
      </c>
      <c r="D30" s="2"/>
      <c r="E30" s="35">
        <v>0</v>
      </c>
      <c r="F30" s="27"/>
      <c r="G30" s="35">
        <v>1269</v>
      </c>
      <c r="H30" s="18"/>
      <c r="I30" s="25"/>
      <c r="J30" s="2" t="s">
        <v>44</v>
      </c>
      <c r="K30" s="2"/>
      <c r="L30" s="4">
        <v>17575</v>
      </c>
      <c r="M30" s="2"/>
      <c r="N30" s="4">
        <v>28191</v>
      </c>
      <c r="O30" s="4"/>
      <c r="P30" s="4">
        <v>41859</v>
      </c>
      <c r="Q30" s="4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</row>
    <row r="31" spans="1:30" ht="16.5" thickBot="1" x14ac:dyDescent="0.3">
      <c r="A31" s="2" t="s">
        <v>134</v>
      </c>
      <c r="C31" s="42">
        <v>-36</v>
      </c>
      <c r="E31" s="42">
        <v>-33</v>
      </c>
      <c r="G31" s="42">
        <v>0</v>
      </c>
      <c r="H31" s="4"/>
      <c r="J31" s="2" t="s">
        <v>46</v>
      </c>
      <c r="L31" s="15">
        <v>-103957</v>
      </c>
      <c r="N31" s="15">
        <v>-10616</v>
      </c>
      <c r="O31" s="15"/>
      <c r="P31" s="15">
        <v>-13668</v>
      </c>
      <c r="Q31" s="4"/>
    </row>
    <row r="32" spans="1:30" ht="16.5" thickTop="1" x14ac:dyDescent="0.25">
      <c r="A32" s="16" t="s">
        <v>47</v>
      </c>
      <c r="B32" s="16"/>
      <c r="C32" s="33">
        <f>SUM(C30:C31)</f>
        <v>-36</v>
      </c>
      <c r="D32" s="16"/>
      <c r="E32" s="33">
        <f>SUM(E30:E31)</f>
        <v>-33</v>
      </c>
      <c r="F32" s="33"/>
      <c r="G32" s="16">
        <f>SUM(G30:G31)</f>
        <v>1269</v>
      </c>
      <c r="H32" s="4"/>
      <c r="J32" s="17" t="s">
        <v>48</v>
      </c>
      <c r="K32" s="17"/>
      <c r="L32" s="16">
        <f>SUM(L30:L31)</f>
        <v>-86382</v>
      </c>
      <c r="M32" s="17"/>
      <c r="N32" s="16">
        <f>SUM(N30:N31)</f>
        <v>17575</v>
      </c>
      <c r="O32" s="16"/>
      <c r="P32" s="16">
        <v>28191</v>
      </c>
      <c r="Q32" s="16"/>
    </row>
    <row r="33" spans="1:21" x14ac:dyDescent="0.25">
      <c r="G33" s="4"/>
      <c r="H33" s="4"/>
      <c r="J33" s="19"/>
      <c r="K33" s="19"/>
      <c r="L33" s="18"/>
      <c r="M33" s="19"/>
      <c r="N33" s="18"/>
      <c r="O33" s="18"/>
      <c r="P33" s="18"/>
      <c r="Q33" s="18"/>
    </row>
    <row r="34" spans="1:21" x14ac:dyDescent="0.25">
      <c r="A34" s="9" t="s">
        <v>49</v>
      </c>
      <c r="B34" s="9"/>
      <c r="C34" s="10"/>
      <c r="D34" s="9"/>
      <c r="E34" s="10"/>
      <c r="F34" s="10"/>
      <c r="G34" s="13"/>
      <c r="H34" s="4"/>
      <c r="J34" s="11" t="s">
        <v>50</v>
      </c>
      <c r="K34" s="11"/>
      <c r="L34" s="9"/>
      <c r="M34" s="11"/>
      <c r="N34" s="9"/>
      <c r="O34" s="9"/>
      <c r="P34" s="13"/>
      <c r="Q34" s="13"/>
    </row>
    <row r="35" spans="1:21" ht="16.5" thickBot="1" x14ac:dyDescent="0.3">
      <c r="A35" s="2" t="s">
        <v>53</v>
      </c>
      <c r="C35" s="42">
        <v>-60418</v>
      </c>
      <c r="E35" s="42">
        <v>-60418</v>
      </c>
      <c r="G35" s="42">
        <v>-48168</v>
      </c>
      <c r="H35" s="4"/>
      <c r="J35" s="2" t="s">
        <v>52</v>
      </c>
      <c r="L35" s="4">
        <v>0</v>
      </c>
      <c r="N35" s="4">
        <v>0</v>
      </c>
      <c r="P35" s="4">
        <v>0</v>
      </c>
      <c r="Q35" s="4"/>
    </row>
    <row r="36" spans="1:21" ht="16.5" thickTop="1" x14ac:dyDescent="0.25">
      <c r="A36" s="17" t="s">
        <v>55</v>
      </c>
      <c r="B36" s="17"/>
      <c r="C36" s="33">
        <f>+C35</f>
        <v>-60418</v>
      </c>
      <c r="D36" s="17"/>
      <c r="E36" s="33">
        <f>+E35</f>
        <v>-60418</v>
      </c>
      <c r="F36" s="34"/>
      <c r="G36" s="16">
        <v>-48168</v>
      </c>
      <c r="H36" s="4"/>
      <c r="J36" s="2" t="s">
        <v>54</v>
      </c>
      <c r="K36" s="2" t="s">
        <v>94</v>
      </c>
      <c r="L36" s="44">
        <v>21514</v>
      </c>
      <c r="N36" s="44">
        <v>30030</v>
      </c>
      <c r="P36" s="44">
        <v>25065</v>
      </c>
      <c r="Q36" s="4"/>
    </row>
    <row r="37" spans="1:21" x14ac:dyDescent="0.25">
      <c r="G37" s="4"/>
      <c r="H37" s="4"/>
      <c r="J37" s="17" t="s">
        <v>56</v>
      </c>
      <c r="K37" s="17"/>
      <c r="L37" s="16">
        <f t="shared" ref="L37:N37" si="0">SUM(L35:L36)</f>
        <v>21514</v>
      </c>
      <c r="M37" s="17"/>
      <c r="N37" s="16">
        <f t="shared" si="0"/>
        <v>30030</v>
      </c>
      <c r="O37" s="16"/>
      <c r="P37" s="16">
        <v>25065</v>
      </c>
      <c r="Q37" s="16"/>
    </row>
    <row r="38" spans="1:21" x14ac:dyDescent="0.25">
      <c r="A38" s="19" t="s">
        <v>57</v>
      </c>
      <c r="B38" s="19"/>
      <c r="C38" s="32">
        <v>0</v>
      </c>
      <c r="D38" s="19"/>
      <c r="E38" s="32">
        <v>0</v>
      </c>
      <c r="G38" s="32">
        <v>0</v>
      </c>
      <c r="H38" s="4"/>
    </row>
    <row r="39" spans="1:21" x14ac:dyDescent="0.25">
      <c r="G39" s="4"/>
      <c r="H39" s="4"/>
      <c r="P39" s="4"/>
      <c r="Q39" s="4"/>
    </row>
    <row r="40" spans="1:21" ht="18.75" x14ac:dyDescent="0.3">
      <c r="A40" s="20" t="s">
        <v>46</v>
      </c>
      <c r="B40" s="20"/>
      <c r="C40" s="16">
        <f>+C38+C36+C32+C27+C25+C9</f>
        <v>-103957</v>
      </c>
      <c r="D40" s="20"/>
      <c r="E40" s="16">
        <f>+E38+E36+E32+E27+E25+E9</f>
        <v>-10616</v>
      </c>
      <c r="F40" s="16"/>
      <c r="G40" s="16">
        <f>+G38+G36+G32+G27+G25+G9</f>
        <v>-13668</v>
      </c>
      <c r="H40" s="4"/>
    </row>
    <row r="41" spans="1:21" ht="18.75" x14ac:dyDescent="0.3">
      <c r="H41" s="4"/>
      <c r="J41" s="20" t="s">
        <v>58</v>
      </c>
      <c r="K41" s="20"/>
      <c r="L41" s="16">
        <f>L25+L32+L37</f>
        <v>10015132</v>
      </c>
      <c r="M41" s="20"/>
      <c r="N41" s="16">
        <f>N25+N32+N37</f>
        <v>10127605</v>
      </c>
      <c r="O41" s="16"/>
      <c r="P41" s="16">
        <v>10133256</v>
      </c>
      <c r="Q41" s="21"/>
    </row>
    <row r="42" spans="1:21" x14ac:dyDescent="0.25">
      <c r="H42" s="4"/>
      <c r="U42" s="22"/>
    </row>
    <row r="43" spans="1:21" x14ac:dyDescent="0.25">
      <c r="H43" s="4"/>
      <c r="L43" s="2">
        <f t="shared" ref="L43:N43" si="1">+L17-L41</f>
        <v>0</v>
      </c>
      <c r="N43" s="2">
        <f t="shared" si="1"/>
        <v>0</v>
      </c>
      <c r="O43" s="2"/>
      <c r="P43" s="2">
        <v>0</v>
      </c>
    </row>
    <row r="44" spans="1:21" x14ac:dyDescent="0.25">
      <c r="H44" s="18"/>
      <c r="R44" s="14"/>
    </row>
    <row r="47" spans="1:21" x14ac:dyDescent="0.25">
      <c r="A47" s="14"/>
      <c r="B47" s="14"/>
      <c r="D47" s="14"/>
      <c r="F47" s="28"/>
      <c r="G47" s="14"/>
    </row>
    <row r="48" spans="1:21" x14ac:dyDescent="0.25">
      <c r="A48" s="14"/>
      <c r="B48" s="14"/>
      <c r="D48" s="14"/>
      <c r="F48" s="28"/>
      <c r="G48" s="14"/>
      <c r="I48" s="14"/>
    </row>
    <row r="49" spans="1:9" x14ac:dyDescent="0.25">
      <c r="A49" s="14"/>
      <c r="B49" s="14"/>
      <c r="D49" s="14"/>
      <c r="F49" s="28"/>
      <c r="G49" s="14"/>
      <c r="I49" s="14"/>
    </row>
    <row r="50" spans="1:9" x14ac:dyDescent="0.25">
      <c r="A50" s="14"/>
      <c r="B50" s="14"/>
      <c r="D50" s="14"/>
      <c r="F50" s="28"/>
      <c r="G50" s="14"/>
      <c r="I50" s="14"/>
    </row>
    <row r="51" spans="1:9" x14ac:dyDescent="0.25">
      <c r="H51" s="14"/>
      <c r="I51" s="14"/>
    </row>
    <row r="52" spans="1:9" x14ac:dyDescent="0.25">
      <c r="H52" s="14"/>
    </row>
    <row r="53" spans="1:9" x14ac:dyDescent="0.25">
      <c r="H53" s="14"/>
    </row>
    <row r="54" spans="1:9" x14ac:dyDescent="0.25">
      <c r="H54" s="14"/>
    </row>
  </sheetData>
  <pageMargins left="0.7" right="0.7" top="0.75" bottom="0.75" header="0.3" footer="0.3"/>
  <pageSetup paperSize="9" scale="80" orientation="portrait" r:id="rId1"/>
  <colBreaks count="2" manualBreakCount="2">
    <brk id="9" max="44" man="1"/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2"/>
  <sheetViews>
    <sheetView topLeftCell="A16" workbookViewId="0">
      <selection activeCell="I15" sqref="I15"/>
    </sheetView>
  </sheetViews>
  <sheetFormatPr defaultRowHeight="15.75" x14ac:dyDescent="0.25"/>
  <cols>
    <col min="1" max="1" width="7.42578125" style="46" customWidth="1"/>
    <col min="2" max="2" width="26.28515625" customWidth="1"/>
    <col min="3" max="3" width="6.7109375" customWidth="1"/>
    <col min="4" max="4" width="8.5703125" customWidth="1"/>
    <col min="5" max="6" width="10.7109375" customWidth="1"/>
    <col min="7" max="7" width="13" bestFit="1" customWidth="1"/>
    <col min="8" max="8" width="13" hidden="1" customWidth="1"/>
    <col min="9" max="9" width="6.5703125" customWidth="1"/>
    <col min="11" max="11" width="9.28515625" customWidth="1"/>
    <col min="12" max="12" width="9.140625" customWidth="1"/>
    <col min="13" max="13" width="8.5703125" customWidth="1"/>
    <col min="14" max="14" width="10.7109375" bestFit="1" customWidth="1"/>
    <col min="15" max="15" width="9.5703125" bestFit="1" customWidth="1"/>
    <col min="18" max="23" width="0" hidden="1" customWidth="1"/>
  </cols>
  <sheetData>
    <row r="1" spans="1:22" ht="21" x14ac:dyDescent="0.35">
      <c r="A1" s="45" t="s">
        <v>139</v>
      </c>
    </row>
    <row r="2" spans="1:22" x14ac:dyDescent="0.25">
      <c r="A2" s="46" t="s">
        <v>63</v>
      </c>
      <c r="B2" s="18" t="s">
        <v>64</v>
      </c>
    </row>
    <row r="3" spans="1:22" x14ac:dyDescent="0.25">
      <c r="B3" s="205" t="s">
        <v>65</v>
      </c>
      <c r="C3" s="205"/>
      <c r="D3" s="205"/>
      <c r="E3" s="205"/>
      <c r="F3" s="205"/>
      <c r="G3" s="205"/>
      <c r="H3" s="205"/>
      <c r="I3" s="47"/>
    </row>
    <row r="4" spans="1:22" x14ac:dyDescent="0.25">
      <c r="B4" s="206"/>
      <c r="C4" s="206"/>
      <c r="D4" s="206"/>
      <c r="E4" s="206"/>
      <c r="F4" s="206"/>
      <c r="G4" s="206"/>
      <c r="H4" s="206"/>
    </row>
    <row r="5" spans="1:22" ht="16.5" thickBot="1" x14ac:dyDescent="0.3">
      <c r="A5" s="46" t="s">
        <v>66</v>
      </c>
      <c r="B5" s="46" t="s">
        <v>67</v>
      </c>
      <c r="G5" s="48"/>
    </row>
    <row r="6" spans="1:22" x14ac:dyDescent="0.25">
      <c r="B6" s="14" t="s">
        <v>68</v>
      </c>
      <c r="C6" s="49"/>
      <c r="D6" s="49"/>
      <c r="E6" s="49"/>
      <c r="F6" s="14">
        <v>10078760</v>
      </c>
      <c r="G6" s="14">
        <v>10078760</v>
      </c>
      <c r="H6" s="14">
        <v>10078760</v>
      </c>
      <c r="K6" s="50" t="s">
        <v>62</v>
      </c>
      <c r="L6" s="51"/>
      <c r="M6" s="52" t="s">
        <v>69</v>
      </c>
      <c r="N6" s="53"/>
      <c r="O6" s="53"/>
      <c r="P6" s="207" t="s">
        <v>70</v>
      </c>
      <c r="R6" s="73" t="s">
        <v>80</v>
      </c>
      <c r="S6" s="74"/>
      <c r="T6" s="74"/>
      <c r="U6" s="74"/>
      <c r="V6" s="75"/>
    </row>
    <row r="7" spans="1:22" x14ac:dyDescent="0.25">
      <c r="B7" s="14" t="s">
        <v>71</v>
      </c>
      <c r="C7" s="54">
        <f>+H7/H6</f>
        <v>0.84699992856264061</v>
      </c>
      <c r="D7" s="49" t="s">
        <v>140</v>
      </c>
      <c r="E7" s="55"/>
      <c r="F7" s="14">
        <v>8536709</v>
      </c>
      <c r="G7" s="14">
        <v>8536709</v>
      </c>
      <c r="H7" s="14">
        <v>8536709</v>
      </c>
      <c r="K7" s="56"/>
      <c r="L7" s="57"/>
      <c r="M7" s="58" t="s">
        <v>73</v>
      </c>
      <c r="N7" s="59" t="s">
        <v>74</v>
      </c>
      <c r="O7" s="59" t="s">
        <v>75</v>
      </c>
      <c r="P7" s="208"/>
      <c r="R7" s="76" t="s">
        <v>81</v>
      </c>
      <c r="S7" s="77"/>
      <c r="T7" s="78"/>
    </row>
    <row r="8" spans="1:22" x14ac:dyDescent="0.25">
      <c r="B8" s="14" t="s">
        <v>76</v>
      </c>
      <c r="C8" s="49"/>
      <c r="D8" s="49"/>
      <c r="E8" s="49"/>
      <c r="F8" s="14">
        <v>60681</v>
      </c>
      <c r="G8" s="14">
        <v>60681</v>
      </c>
      <c r="H8" s="14">
        <v>60681</v>
      </c>
      <c r="I8" s="14"/>
      <c r="K8" s="60" t="s">
        <v>77</v>
      </c>
      <c r="L8" s="61"/>
      <c r="M8" s="62">
        <v>5</v>
      </c>
      <c r="N8" s="62">
        <v>403334</v>
      </c>
      <c r="O8" s="62">
        <f>+M8*N8</f>
        <v>2016670</v>
      </c>
      <c r="P8" s="63"/>
      <c r="R8" s="79" t="s">
        <v>83</v>
      </c>
      <c r="S8" s="80" t="s">
        <v>84</v>
      </c>
      <c r="T8" s="80" t="s">
        <v>85</v>
      </c>
    </row>
    <row r="9" spans="1:22" ht="16.5" thickBot="1" x14ac:dyDescent="0.3">
      <c r="B9" s="14" t="s">
        <v>121</v>
      </c>
      <c r="C9" s="49"/>
      <c r="D9" s="49"/>
      <c r="E9" s="49"/>
      <c r="F9" s="14">
        <v>367500</v>
      </c>
      <c r="G9" s="14">
        <v>367500</v>
      </c>
      <c r="H9" s="14">
        <v>367500</v>
      </c>
      <c r="I9" s="64"/>
      <c r="K9" s="65" t="s">
        <v>78</v>
      </c>
      <c r="L9" s="66"/>
      <c r="M9" s="67">
        <v>5</v>
      </c>
      <c r="N9" s="67">
        <v>605</v>
      </c>
      <c r="O9" s="68">
        <f>+N9*M9</f>
        <v>3025</v>
      </c>
      <c r="P9" s="69">
        <f>+H11*0.0015</f>
        <v>7128</v>
      </c>
      <c r="R9" s="83">
        <f>-(U17*H8+U18*H7)</f>
        <v>-173768.22999999998</v>
      </c>
      <c r="S9" s="84">
        <f>-(U17*H8+U19*H7)</f>
        <v>-88401.14</v>
      </c>
      <c r="T9" s="84">
        <f>-(U17*H8+U20*H7)</f>
        <v>-45717.595000000001</v>
      </c>
    </row>
    <row r="10" spans="1:22" x14ac:dyDescent="0.25">
      <c r="I10" s="14"/>
    </row>
    <row r="11" spans="1:22" x14ac:dyDescent="0.25">
      <c r="B11" s="14" t="s">
        <v>79</v>
      </c>
      <c r="C11" s="49"/>
      <c r="D11" s="49"/>
      <c r="E11" s="49"/>
      <c r="F11" s="14">
        <v>4752000</v>
      </c>
      <c r="G11" s="14">
        <v>4752000</v>
      </c>
      <c r="H11" s="14">
        <v>4752000</v>
      </c>
      <c r="I11" s="28"/>
    </row>
    <row r="12" spans="1:22" x14ac:dyDescent="0.25">
      <c r="B12" s="70" t="s">
        <v>114</v>
      </c>
      <c r="C12" s="49"/>
      <c r="D12" s="49"/>
      <c r="E12" s="49"/>
      <c r="F12" s="14">
        <v>4027000</v>
      </c>
      <c r="G12" s="14">
        <v>4027000</v>
      </c>
      <c r="H12" s="14">
        <v>4027000</v>
      </c>
      <c r="I12" s="14"/>
      <c r="J12" s="2"/>
    </row>
    <row r="13" spans="1:22" x14ac:dyDescent="0.25">
      <c r="B13" s="71"/>
      <c r="G13" s="2"/>
      <c r="H13" s="2"/>
      <c r="I13" s="14"/>
      <c r="K13" s="73" t="s">
        <v>80</v>
      </c>
      <c r="L13" s="74"/>
      <c r="M13" s="74"/>
      <c r="N13" s="74"/>
      <c r="O13" s="75"/>
    </row>
    <row r="14" spans="1:22" x14ac:dyDescent="0.25">
      <c r="B14" s="18" t="s">
        <v>49</v>
      </c>
      <c r="F14" s="103" t="s">
        <v>146</v>
      </c>
      <c r="G14" s="103" t="s">
        <v>147</v>
      </c>
      <c r="H14" s="72" t="s">
        <v>123</v>
      </c>
      <c r="I14" s="14"/>
      <c r="K14" s="76" t="s">
        <v>81</v>
      </c>
      <c r="L14" s="77"/>
      <c r="M14" s="78"/>
    </row>
    <row r="15" spans="1:22" x14ac:dyDescent="0.25">
      <c r="B15" s="14" t="s">
        <v>71</v>
      </c>
      <c r="C15" s="49"/>
      <c r="D15" s="49"/>
      <c r="E15" s="49"/>
      <c r="F15" s="14">
        <v>8964890</v>
      </c>
      <c r="G15" s="14">
        <v>8964890</v>
      </c>
      <c r="H15" s="14">
        <v>8964890</v>
      </c>
      <c r="I15" s="14"/>
      <c r="K15" s="79" t="s">
        <v>83</v>
      </c>
      <c r="L15" s="80" t="s">
        <v>84</v>
      </c>
      <c r="M15" s="80" t="s">
        <v>85</v>
      </c>
    </row>
    <row r="16" spans="1:22" x14ac:dyDescent="0.25">
      <c r="B16" s="14" t="s">
        <v>82</v>
      </c>
      <c r="C16" s="49"/>
      <c r="D16" s="49"/>
      <c r="E16" s="49"/>
      <c r="F16" s="14">
        <f>G16+G17-1</f>
        <v>-462193.59499999997</v>
      </c>
      <c r="G16" s="14">
        <f>H16+H17</f>
        <v>-401775</v>
      </c>
      <c r="H16" s="14">
        <v>-353607</v>
      </c>
      <c r="K16" s="83">
        <f>-(N24*H8+N26*H7)</f>
        <v>-173768.22999999998</v>
      </c>
      <c r="L16" s="84">
        <f>-(N24*H8+N27*H7)</f>
        <v>-88401.14</v>
      </c>
      <c r="M16" s="84">
        <f>-(N24*H8+N28*H7+H9*N25)</f>
        <v>-60417.595000000001</v>
      </c>
      <c r="R16" s="58" t="s">
        <v>90</v>
      </c>
      <c r="S16" s="88"/>
      <c r="T16" s="59" t="s">
        <v>91</v>
      </c>
      <c r="U16" s="89" t="s">
        <v>92</v>
      </c>
    </row>
    <row r="17" spans="1:21" ht="16.5" thickBot="1" x14ac:dyDescent="0.3">
      <c r="B17" s="14" t="s">
        <v>86</v>
      </c>
      <c r="C17" s="49"/>
      <c r="D17" s="49"/>
      <c r="E17" s="49"/>
      <c r="F17" s="81">
        <f>+M16</f>
        <v>-60417.595000000001</v>
      </c>
      <c r="G17" s="81">
        <f>+M16</f>
        <v>-60417.595000000001</v>
      </c>
      <c r="H17" s="81">
        <v>-48168</v>
      </c>
      <c r="R17" s="90" t="s">
        <v>93</v>
      </c>
      <c r="S17" s="90"/>
      <c r="T17" s="90">
        <v>20</v>
      </c>
      <c r="U17" s="91">
        <f>1/T17</f>
        <v>0.05</v>
      </c>
    </row>
    <row r="18" spans="1:21" ht="16.5" thickTop="1" x14ac:dyDescent="0.25">
      <c r="B18" s="2"/>
      <c r="E18" s="85" t="s">
        <v>87</v>
      </c>
      <c r="F18" s="86">
        <f>SUM(F15:F17)</f>
        <v>8442278.8099999987</v>
      </c>
      <c r="G18" s="86">
        <f>SUM(G15:G17)</f>
        <v>8502697.4049999993</v>
      </c>
      <c r="H18" s="86">
        <f>SUM(H15:H17)</f>
        <v>8563115</v>
      </c>
      <c r="I18" s="47"/>
      <c r="R18" s="90" t="s">
        <v>96</v>
      </c>
      <c r="S18" s="90"/>
      <c r="T18" s="90">
        <v>50</v>
      </c>
      <c r="U18" s="92">
        <f>1/T18</f>
        <v>0.02</v>
      </c>
    </row>
    <row r="19" spans="1:21" x14ac:dyDescent="0.25">
      <c r="B19" s="14"/>
      <c r="D19" s="14"/>
      <c r="E19" s="14"/>
      <c r="F19" s="14"/>
      <c r="G19" s="14"/>
      <c r="H19" s="14"/>
      <c r="R19" s="90" t="s">
        <v>96</v>
      </c>
      <c r="S19" s="90"/>
      <c r="T19" s="90">
        <v>100</v>
      </c>
      <c r="U19" s="92">
        <f>1/T19</f>
        <v>0.01</v>
      </c>
    </row>
    <row r="20" spans="1:21" x14ac:dyDescent="0.25">
      <c r="A20" s="46" t="s">
        <v>88</v>
      </c>
      <c r="B20" s="18" t="s">
        <v>14</v>
      </c>
      <c r="G20" s="87"/>
      <c r="H20" s="87"/>
      <c r="R20" s="90" t="s">
        <v>96</v>
      </c>
      <c r="S20" s="90"/>
      <c r="T20" s="90">
        <v>200</v>
      </c>
      <c r="U20" s="92">
        <f>1/T20</f>
        <v>5.0000000000000001E-3</v>
      </c>
    </row>
    <row r="21" spans="1:21" x14ac:dyDescent="0.25">
      <c r="B21" s="209" t="s">
        <v>89</v>
      </c>
      <c r="C21" s="210"/>
      <c r="D21" s="210"/>
      <c r="E21" s="210"/>
      <c r="F21" s="14">
        <f>+G6-G7</f>
        <v>1542051</v>
      </c>
      <c r="G21" s="14">
        <f>+H6-H7</f>
        <v>1542051</v>
      </c>
      <c r="H21" s="14">
        <v>1542051</v>
      </c>
    </row>
    <row r="22" spans="1:21" x14ac:dyDescent="0.25">
      <c r="B22" s="94"/>
      <c r="C22" s="95"/>
      <c r="D22" s="95"/>
      <c r="E22" s="95"/>
      <c r="F22" s="95"/>
      <c r="G22" s="14"/>
      <c r="H22" s="14"/>
    </row>
    <row r="23" spans="1:21" x14ac:dyDescent="0.25">
      <c r="A23" s="46" t="s">
        <v>94</v>
      </c>
      <c r="B23" s="46" t="s">
        <v>95</v>
      </c>
      <c r="K23" s="58" t="s">
        <v>90</v>
      </c>
      <c r="L23" s="88"/>
      <c r="M23" s="59" t="s">
        <v>91</v>
      </c>
      <c r="N23" s="89" t="s">
        <v>92</v>
      </c>
    </row>
    <row r="24" spans="1:21" x14ac:dyDescent="0.25">
      <c r="B24" s="49" t="s">
        <v>97</v>
      </c>
      <c r="C24" s="49"/>
      <c r="D24" s="49"/>
      <c r="E24" s="49"/>
      <c r="F24" s="70">
        <v>11585</v>
      </c>
      <c r="G24" s="14">
        <v>11585</v>
      </c>
      <c r="H24" s="14">
        <v>11585</v>
      </c>
      <c r="K24" s="90" t="s">
        <v>93</v>
      </c>
      <c r="L24" s="90"/>
      <c r="M24" s="90">
        <v>20</v>
      </c>
      <c r="N24" s="92">
        <f>1/M24</f>
        <v>0.05</v>
      </c>
    </row>
    <row r="25" spans="1:21" x14ac:dyDescent="0.25">
      <c r="B25" s="49" t="s">
        <v>98</v>
      </c>
      <c r="C25" s="49"/>
      <c r="D25" s="49"/>
      <c r="E25" s="49"/>
      <c r="F25" s="70">
        <v>6723</v>
      </c>
      <c r="G25" s="14">
        <f>1302+4874+4806</f>
        <v>10982</v>
      </c>
      <c r="H25" s="14">
        <f>13480-3073</f>
        <v>10407</v>
      </c>
      <c r="K25" s="97" t="s">
        <v>128</v>
      </c>
      <c r="L25" s="98"/>
      <c r="M25" s="99">
        <v>25</v>
      </c>
      <c r="N25" s="92">
        <v>0.04</v>
      </c>
      <c r="O25" t="s">
        <v>129</v>
      </c>
    </row>
    <row r="26" spans="1:21" x14ac:dyDescent="0.25">
      <c r="B26" s="49" t="s">
        <v>138</v>
      </c>
      <c r="C26" s="49"/>
      <c r="D26" s="49"/>
      <c r="E26" s="49"/>
      <c r="F26" s="70">
        <v>3206</v>
      </c>
      <c r="G26" s="14">
        <v>3138</v>
      </c>
      <c r="H26" s="14">
        <v>3073</v>
      </c>
      <c r="K26" s="90" t="s">
        <v>96</v>
      </c>
      <c r="L26" s="90"/>
      <c r="M26" s="90">
        <v>50</v>
      </c>
      <c r="N26" s="92">
        <f>1/M26</f>
        <v>0.02</v>
      </c>
    </row>
    <row r="27" spans="1:21" x14ac:dyDescent="0.25">
      <c r="B27" s="49" t="s">
        <v>136</v>
      </c>
      <c r="C27" s="49"/>
      <c r="D27" s="49"/>
      <c r="E27" s="49"/>
      <c r="F27" s="64"/>
      <c r="G27" s="14">
        <v>1125</v>
      </c>
      <c r="H27" s="14"/>
      <c r="K27" s="90" t="s">
        <v>96</v>
      </c>
      <c r="L27" s="90"/>
      <c r="M27" s="90">
        <v>100</v>
      </c>
      <c r="N27" s="92">
        <f>1/M27</f>
        <v>0.01</v>
      </c>
    </row>
    <row r="28" spans="1:21" x14ac:dyDescent="0.25">
      <c r="B28" s="49" t="s">
        <v>137</v>
      </c>
      <c r="C28" s="49"/>
      <c r="D28" s="49"/>
      <c r="E28" s="49"/>
      <c r="F28" s="64"/>
      <c r="G28" s="14">
        <v>3200</v>
      </c>
      <c r="H28" s="14"/>
      <c r="K28" s="90" t="s">
        <v>96</v>
      </c>
      <c r="L28" s="90"/>
      <c r="M28" s="90">
        <v>200</v>
      </c>
      <c r="N28" s="92">
        <f>1/M28</f>
        <v>5.0000000000000001E-3</v>
      </c>
    </row>
    <row r="29" spans="1:21" ht="16.5" thickBot="1" x14ac:dyDescent="0.3">
      <c r="E29" s="85" t="s">
        <v>99</v>
      </c>
      <c r="F29" s="101">
        <f>SUM(F24:F28)</f>
        <v>21514</v>
      </c>
      <c r="G29" s="101">
        <f>SUM(G24:G28)</f>
        <v>30030</v>
      </c>
      <c r="H29" s="101">
        <f>SUM(H24:H28)</f>
        <v>25065</v>
      </c>
      <c r="N29" s="100"/>
    </row>
    <row r="30" spans="1:21" ht="16.5" thickTop="1" x14ac:dyDescent="0.25"/>
    <row r="31" spans="1:21" x14ac:dyDescent="0.25">
      <c r="A31" s="46" t="s">
        <v>100</v>
      </c>
      <c r="B31" s="46" t="s">
        <v>38</v>
      </c>
      <c r="G31" s="87"/>
      <c r="H31" s="87"/>
    </row>
    <row r="32" spans="1:21" x14ac:dyDescent="0.25">
      <c r="B32" s="49" t="s">
        <v>112</v>
      </c>
      <c r="C32" s="49"/>
      <c r="D32" s="49"/>
      <c r="E32" s="49"/>
      <c r="F32" s="14">
        <v>10080000</v>
      </c>
      <c r="G32" s="14">
        <v>10080000</v>
      </c>
      <c r="H32" s="14">
        <v>10080000</v>
      </c>
    </row>
  </sheetData>
  <mergeCells count="3">
    <mergeCell ref="B3:H4"/>
    <mergeCell ref="P6:P7"/>
    <mergeCell ref="B21:E2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4"/>
  <sheetViews>
    <sheetView zoomScaleNormal="100" workbookViewId="0">
      <selection activeCell="O18" sqref="O18"/>
    </sheetView>
  </sheetViews>
  <sheetFormatPr defaultColWidth="9.140625" defaultRowHeight="15.75" x14ac:dyDescent="0.25"/>
  <cols>
    <col min="1" max="1" width="42.28515625" style="2" customWidth="1"/>
    <col min="2" max="2" width="12" style="2" customWidth="1"/>
    <col min="3" max="3" width="16" style="35" customWidth="1"/>
    <col min="4" max="4" width="8.28515625" style="27" customWidth="1"/>
    <col min="5" max="5" width="15" style="2" customWidth="1"/>
    <col min="6" max="6" width="1.5703125" style="2" customWidth="1"/>
    <col min="7" max="7" width="3.28515625" style="2" customWidth="1"/>
    <col min="8" max="8" width="43" style="2" customWidth="1"/>
    <col min="9" max="9" width="12.28515625" style="2" customWidth="1"/>
    <col min="10" max="11" width="15.85546875" style="4" customWidth="1"/>
    <col min="12" max="12" width="15.85546875" style="2" customWidth="1"/>
    <col min="13" max="13" width="2" style="2" customWidth="1"/>
    <col min="14" max="14" width="8.85546875" style="2" bestFit="1" customWidth="1"/>
    <col min="15" max="16" width="9.140625" style="2"/>
    <col min="17" max="17" width="13.85546875" style="2" customWidth="1"/>
    <col min="18" max="16384" width="9.140625" style="2"/>
  </cols>
  <sheetData>
    <row r="1" spans="1:23" ht="21" x14ac:dyDescent="0.35">
      <c r="A1" s="1" t="s">
        <v>0</v>
      </c>
      <c r="B1" s="1"/>
      <c r="C1" s="32"/>
      <c r="H1" s="1" t="s">
        <v>1</v>
      </c>
      <c r="I1" s="1"/>
      <c r="J1" s="18"/>
      <c r="K1" s="18"/>
    </row>
    <row r="2" spans="1:23" ht="18.75" x14ac:dyDescent="0.3">
      <c r="A2" s="3" t="s">
        <v>2</v>
      </c>
      <c r="B2" s="3"/>
      <c r="H2" s="3" t="s">
        <v>2</v>
      </c>
      <c r="I2" s="3"/>
    </row>
    <row r="3" spans="1:23" x14ac:dyDescent="0.25">
      <c r="A3" s="4" t="s">
        <v>3</v>
      </c>
      <c r="B3" s="4"/>
      <c r="H3" s="4" t="s">
        <v>3</v>
      </c>
      <c r="I3" s="4"/>
    </row>
    <row r="4" spans="1:23" x14ac:dyDescent="0.25">
      <c r="A4" s="4" t="s">
        <v>131</v>
      </c>
      <c r="B4" s="4"/>
      <c r="H4" s="5" t="s">
        <v>132</v>
      </c>
      <c r="I4" s="5"/>
      <c r="J4" s="5"/>
      <c r="K4" s="5"/>
    </row>
    <row r="5" spans="1:23" x14ac:dyDescent="0.25">
      <c r="H5" s="6"/>
      <c r="I5" s="6"/>
      <c r="J5" s="6"/>
      <c r="K5" s="6"/>
    </row>
    <row r="6" spans="1:23" ht="18.75" x14ac:dyDescent="0.3">
      <c r="A6" s="7" t="s">
        <v>6</v>
      </c>
      <c r="B6" s="7"/>
      <c r="C6" s="32"/>
      <c r="H6" s="7" t="s">
        <v>7</v>
      </c>
      <c r="I6" s="7"/>
      <c r="J6" s="18"/>
      <c r="K6" s="18"/>
      <c r="M6" s="8"/>
    </row>
    <row r="7" spans="1:23" ht="18.75" x14ac:dyDescent="0.3">
      <c r="A7" s="9" t="s">
        <v>8</v>
      </c>
      <c r="B7" s="9"/>
      <c r="C7" s="10" t="s">
        <v>133</v>
      </c>
      <c r="D7" s="10"/>
      <c r="E7" s="10" t="s">
        <v>119</v>
      </c>
      <c r="F7" s="32"/>
      <c r="H7" s="11" t="s">
        <v>10</v>
      </c>
      <c r="I7" s="11"/>
      <c r="J7" s="26" t="s">
        <v>135</v>
      </c>
      <c r="K7" s="26"/>
      <c r="L7" s="26" t="s">
        <v>120</v>
      </c>
      <c r="M7" s="13"/>
      <c r="N7" s="14"/>
    </row>
    <row r="8" spans="1:23" s="14" customFormat="1" x14ac:dyDescent="0.25">
      <c r="A8" s="2" t="s">
        <v>11</v>
      </c>
      <c r="B8" s="2"/>
      <c r="C8" s="35">
        <v>139020</v>
      </c>
      <c r="D8" s="28"/>
      <c r="E8" s="35">
        <v>139020</v>
      </c>
      <c r="F8" s="4"/>
      <c r="G8" s="2"/>
      <c r="H8" s="2" t="s">
        <v>12</v>
      </c>
      <c r="I8" s="2" t="s">
        <v>66</v>
      </c>
      <c r="J8" s="4">
        <f>8964890-462193</f>
        <v>8502697</v>
      </c>
      <c r="K8" s="4"/>
      <c r="L8" s="4">
        <v>8563115</v>
      </c>
      <c r="M8" s="4"/>
      <c r="N8" s="2"/>
    </row>
    <row r="9" spans="1:23" s="14" customFormat="1" ht="16.5" thickBot="1" x14ac:dyDescent="0.3">
      <c r="A9" s="16" t="s">
        <v>15</v>
      </c>
      <c r="B9" s="16"/>
      <c r="C9" s="33">
        <v>139020</v>
      </c>
      <c r="D9" s="29"/>
      <c r="E9" s="16">
        <v>139020</v>
      </c>
      <c r="F9" s="4"/>
      <c r="G9" s="2"/>
      <c r="H9" s="2" t="s">
        <v>14</v>
      </c>
      <c r="I9" s="2" t="s">
        <v>88</v>
      </c>
      <c r="J9" s="15">
        <v>1542051</v>
      </c>
      <c r="K9" s="15"/>
      <c r="L9" s="15">
        <v>1542051</v>
      </c>
      <c r="M9" s="15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6.5" thickTop="1" x14ac:dyDescent="0.25">
      <c r="A10" s="23"/>
      <c r="B10" s="23"/>
      <c r="C10" s="36"/>
      <c r="D10" s="30"/>
      <c r="E10" s="23"/>
      <c r="F10" s="18"/>
      <c r="H10" s="17" t="s">
        <v>16</v>
      </c>
      <c r="I10" s="17"/>
      <c r="J10" s="16">
        <f>J8+J9</f>
        <v>10044748</v>
      </c>
      <c r="K10" s="16"/>
      <c r="L10" s="16">
        <v>10105166</v>
      </c>
      <c r="M10" s="16"/>
    </row>
    <row r="11" spans="1:23" s="25" customFormat="1" x14ac:dyDescent="0.25">
      <c r="A11" s="18"/>
      <c r="B11" s="18"/>
      <c r="C11" s="32"/>
      <c r="D11" s="31"/>
      <c r="E11" s="18"/>
      <c r="F11" s="18"/>
      <c r="H11" s="24"/>
      <c r="I11" s="24"/>
      <c r="J11" s="23"/>
      <c r="K11" s="23"/>
      <c r="L11" s="23"/>
      <c r="M11" s="23"/>
    </row>
    <row r="12" spans="1:23" ht="18.75" x14ac:dyDescent="0.3">
      <c r="A12" s="7" t="s">
        <v>17</v>
      </c>
      <c r="B12" s="7"/>
      <c r="C12" s="32"/>
      <c r="E12" s="4"/>
      <c r="F12" s="18"/>
      <c r="H12" s="11" t="s">
        <v>19</v>
      </c>
      <c r="I12" s="11"/>
      <c r="J12" s="9"/>
      <c r="K12" s="9"/>
      <c r="L12" s="13"/>
      <c r="M12" s="13"/>
    </row>
    <row r="13" spans="1:23" s="14" customFormat="1" x14ac:dyDescent="0.25">
      <c r="A13" s="9" t="s">
        <v>18</v>
      </c>
      <c r="B13" s="9"/>
      <c r="C13" s="10"/>
      <c r="D13" s="10"/>
      <c r="E13" s="13"/>
      <c r="F13" s="4"/>
      <c r="G13" s="2"/>
      <c r="H13" s="2" t="s">
        <v>21</v>
      </c>
      <c r="I13" s="2"/>
      <c r="J13" s="4">
        <v>82857</v>
      </c>
      <c r="K13" s="4"/>
      <c r="L13" s="4">
        <v>28090</v>
      </c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14" customFormat="1" x14ac:dyDescent="0.25">
      <c r="A14" s="2" t="s">
        <v>24</v>
      </c>
      <c r="B14" s="2"/>
      <c r="C14" s="35">
        <v>-3106</v>
      </c>
      <c r="D14" s="28"/>
      <c r="E14" s="35">
        <v>-26444</v>
      </c>
      <c r="F14" s="4"/>
      <c r="G14" s="2"/>
      <c r="H14" s="2" t="s">
        <v>23</v>
      </c>
      <c r="I14" s="2"/>
      <c r="J14" s="4">
        <v>0</v>
      </c>
      <c r="K14" s="4"/>
      <c r="L14" s="4">
        <v>0</v>
      </c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s="14" customFormat="1" x14ac:dyDescent="0.25">
      <c r="A15" s="2" t="s">
        <v>26</v>
      </c>
      <c r="B15" s="2"/>
      <c r="C15" s="35">
        <v>-9182</v>
      </c>
      <c r="D15" s="28"/>
      <c r="E15" s="35">
        <v>-10002</v>
      </c>
      <c r="F15" s="4"/>
      <c r="G15" s="2"/>
      <c r="H15" s="17" t="s">
        <v>25</v>
      </c>
      <c r="I15" s="17"/>
      <c r="J15" s="16">
        <f>J13+J14</f>
        <v>82857</v>
      </c>
      <c r="K15" s="16"/>
      <c r="L15" s="16">
        <v>28090</v>
      </c>
      <c r="M15" s="16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s="14" customFormat="1" x14ac:dyDescent="0.25">
      <c r="A16" s="2" t="s">
        <v>27</v>
      </c>
      <c r="B16" s="2"/>
      <c r="C16" s="35">
        <v>-11899</v>
      </c>
      <c r="D16" s="28"/>
      <c r="E16" s="35">
        <v>-7102</v>
      </c>
      <c r="F16" s="4"/>
      <c r="G16" s="2"/>
      <c r="H16" s="19"/>
      <c r="I16" s="19"/>
      <c r="J16" s="18"/>
      <c r="K16" s="18"/>
      <c r="L16" s="18"/>
      <c r="M16" s="18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6" s="14" customFormat="1" ht="18.75" x14ac:dyDescent="0.3">
      <c r="A17" s="2" t="s">
        <v>29</v>
      </c>
      <c r="B17" s="2"/>
      <c r="C17" s="35">
        <v>-36224</v>
      </c>
      <c r="D17" s="28"/>
      <c r="E17" s="35">
        <v>-38929</v>
      </c>
      <c r="F17" s="4"/>
      <c r="G17" s="2"/>
      <c r="H17" s="20" t="s">
        <v>28</v>
      </c>
      <c r="I17" s="20"/>
      <c r="J17" s="16">
        <f>+J10+J15</f>
        <v>10127605</v>
      </c>
      <c r="K17" s="16"/>
      <c r="L17" s="16">
        <v>10133256</v>
      </c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6" s="14" customFormat="1" ht="18.75" x14ac:dyDescent="0.3">
      <c r="A18" s="2" t="s">
        <v>30</v>
      </c>
      <c r="B18" s="2"/>
      <c r="C18" s="35">
        <v>-8399</v>
      </c>
      <c r="D18" s="28"/>
      <c r="E18" s="35">
        <v>-8540</v>
      </c>
      <c r="F18" s="4"/>
      <c r="G18" s="2"/>
      <c r="H18" s="7"/>
      <c r="I18" s="7"/>
      <c r="J18" s="18"/>
      <c r="K18" s="18"/>
      <c r="L18" s="18"/>
      <c r="M18" s="18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6" s="14" customFormat="1" x14ac:dyDescent="0.25">
      <c r="A19" s="2" t="s">
        <v>31</v>
      </c>
      <c r="B19" s="2"/>
      <c r="C19" s="35">
        <v>-5683</v>
      </c>
      <c r="D19" s="28"/>
      <c r="E19" s="35">
        <v>-5427</v>
      </c>
      <c r="F19" s="4"/>
      <c r="G19" s="2"/>
      <c r="J19" s="4"/>
      <c r="K19" s="4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6" s="14" customFormat="1" x14ac:dyDescent="0.25">
      <c r="A20" s="2" t="s">
        <v>32</v>
      </c>
      <c r="B20" s="2"/>
      <c r="C20" s="35">
        <v>-2023</v>
      </c>
      <c r="D20" s="28"/>
      <c r="E20" s="35">
        <v>-131</v>
      </c>
      <c r="F20" s="4"/>
      <c r="G20" s="2"/>
      <c r="J20" s="4"/>
      <c r="K20" s="4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6" s="14" customFormat="1" x14ac:dyDescent="0.25">
      <c r="A21" s="2" t="s">
        <v>33</v>
      </c>
      <c r="B21" s="2"/>
      <c r="C21" s="35">
        <f>-1097-648</f>
        <v>-1745</v>
      </c>
      <c r="D21" s="28"/>
      <c r="E21" s="35">
        <v>-1757</v>
      </c>
      <c r="F21" s="4"/>
      <c r="G21" s="2"/>
      <c r="J21" s="4"/>
      <c r="K21" s="4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6" s="14" customFormat="1" ht="18.75" x14ac:dyDescent="0.3">
      <c r="A22" s="2" t="s">
        <v>35</v>
      </c>
      <c r="B22" s="2"/>
      <c r="C22" s="35">
        <v>-1453</v>
      </c>
      <c r="D22" s="28"/>
      <c r="E22" s="35">
        <v>0</v>
      </c>
      <c r="F22" s="4"/>
      <c r="G22" s="2"/>
      <c r="H22" s="7" t="s">
        <v>34</v>
      </c>
      <c r="I22" s="7"/>
      <c r="J22" s="18"/>
      <c r="K22" s="18"/>
      <c r="L22" s="4"/>
      <c r="M22" s="4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6" s="14" customFormat="1" x14ac:dyDescent="0.25">
      <c r="A23" s="2" t="s">
        <v>37</v>
      </c>
      <c r="B23" s="2"/>
      <c r="C23" s="35">
        <f>-3200-2252</f>
        <v>-5452</v>
      </c>
      <c r="D23" s="28"/>
      <c r="E23" s="35">
        <v>-3252</v>
      </c>
      <c r="F23" s="4"/>
      <c r="G23" s="2"/>
      <c r="H23" s="11" t="s">
        <v>36</v>
      </c>
      <c r="I23" s="11"/>
      <c r="J23" s="9"/>
      <c r="K23" s="9"/>
      <c r="L23" s="9"/>
      <c r="M23" s="13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6" s="14" customFormat="1" ht="16.5" thickBot="1" x14ac:dyDescent="0.3">
      <c r="A24" s="2" t="s">
        <v>39</v>
      </c>
      <c r="B24" s="2"/>
      <c r="C24" s="42">
        <v>-914</v>
      </c>
      <c r="D24" s="28"/>
      <c r="E24" s="42">
        <v>-1165</v>
      </c>
      <c r="F24" s="4"/>
      <c r="G24" s="2"/>
      <c r="H24" s="2" t="s">
        <v>38</v>
      </c>
      <c r="I24" s="2" t="s">
        <v>100</v>
      </c>
      <c r="J24" s="15">
        <v>10080000</v>
      </c>
      <c r="K24" s="15"/>
      <c r="L24" s="15">
        <v>10080000</v>
      </c>
      <c r="M24" s="4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6" s="14" customFormat="1" ht="16.5" thickTop="1" x14ac:dyDescent="0.25">
      <c r="A25" s="16" t="s">
        <v>41</v>
      </c>
      <c r="B25" s="16"/>
      <c r="C25" s="33">
        <f>SUM(C14:C24)</f>
        <v>-86080</v>
      </c>
      <c r="D25" s="33"/>
      <c r="E25" s="16">
        <v>-102749</v>
      </c>
      <c r="F25" s="4"/>
      <c r="G25" s="2"/>
      <c r="H25" s="17" t="s">
        <v>40</v>
      </c>
      <c r="I25" s="17"/>
      <c r="J25" s="16">
        <v>10080000</v>
      </c>
      <c r="K25" s="16"/>
      <c r="L25" s="16">
        <v>10080000</v>
      </c>
      <c r="M25" s="16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6" s="14" customFormat="1" x14ac:dyDescent="0.25">
      <c r="A26" s="23"/>
      <c r="B26" s="23"/>
      <c r="C26" s="36"/>
      <c r="D26" s="36"/>
      <c r="E26" s="23"/>
      <c r="F26" s="4"/>
      <c r="G26" s="2"/>
      <c r="H26" s="2"/>
      <c r="I26" s="2"/>
      <c r="J26" s="4"/>
      <c r="K26" s="4"/>
      <c r="L26" s="4"/>
      <c r="M26" s="4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6" s="14" customFormat="1" x14ac:dyDescent="0.25">
      <c r="A27" s="38" t="s">
        <v>62</v>
      </c>
      <c r="B27" s="38"/>
      <c r="C27" s="39">
        <v>-3105</v>
      </c>
      <c r="D27" s="39"/>
      <c r="E27" s="39">
        <v>-3040</v>
      </c>
      <c r="F27" s="4"/>
      <c r="G27" s="2"/>
      <c r="H27" s="25"/>
      <c r="I27" s="25"/>
      <c r="J27" s="37"/>
      <c r="K27" s="37"/>
      <c r="L27" s="37"/>
      <c r="M27" s="37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6" x14ac:dyDescent="0.25">
      <c r="A28" s="14"/>
      <c r="B28" s="14"/>
      <c r="D28" s="28"/>
      <c r="E28" s="22"/>
      <c r="F28" s="18"/>
      <c r="H28" s="25"/>
      <c r="I28" s="25"/>
      <c r="J28" s="37"/>
      <c r="K28" s="37"/>
      <c r="L28" s="37"/>
      <c r="M28" s="40"/>
    </row>
    <row r="29" spans="1:26" s="25" customFormat="1" x14ac:dyDescent="0.25">
      <c r="A29" s="9" t="s">
        <v>43</v>
      </c>
      <c r="B29" s="9"/>
      <c r="C29" s="10"/>
      <c r="D29" s="10"/>
      <c r="E29" s="13"/>
      <c r="F29" s="18"/>
      <c r="H29" s="11" t="s">
        <v>42</v>
      </c>
      <c r="I29" s="11"/>
      <c r="J29" s="9"/>
      <c r="K29" s="9"/>
      <c r="L29" s="13"/>
      <c r="M29" s="13"/>
    </row>
    <row r="30" spans="1:26" s="41" customFormat="1" x14ac:dyDescent="0.25">
      <c r="A30" s="2" t="s">
        <v>45</v>
      </c>
      <c r="B30" s="2"/>
      <c r="C30" s="35">
        <v>0</v>
      </c>
      <c r="D30" s="27"/>
      <c r="E30" s="35">
        <v>1269</v>
      </c>
      <c r="F30" s="18"/>
      <c r="G30" s="25"/>
      <c r="H30" s="2" t="s">
        <v>44</v>
      </c>
      <c r="I30" s="2"/>
      <c r="J30" s="4">
        <v>28191</v>
      </c>
      <c r="K30" s="4"/>
      <c r="L30" s="4">
        <v>41859</v>
      </c>
      <c r="M30" s="4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6.5" thickBot="1" x14ac:dyDescent="0.3">
      <c r="A31" s="2" t="s">
        <v>134</v>
      </c>
      <c r="C31" s="42">
        <v>-33</v>
      </c>
      <c r="E31" s="42">
        <v>0</v>
      </c>
      <c r="F31" s="4"/>
      <c r="H31" s="2" t="s">
        <v>46</v>
      </c>
      <c r="J31" s="15">
        <v>-10616</v>
      </c>
      <c r="K31" s="15"/>
      <c r="L31" s="15">
        <v>-13668</v>
      </c>
      <c r="M31" s="4"/>
    </row>
    <row r="32" spans="1:26" ht="16.5" thickTop="1" x14ac:dyDescent="0.25">
      <c r="A32" s="16" t="s">
        <v>47</v>
      </c>
      <c r="B32" s="16"/>
      <c r="C32" s="33">
        <f>SUM(C30:C31)</f>
        <v>-33</v>
      </c>
      <c r="D32" s="33"/>
      <c r="E32" s="16">
        <f>SUM(E30:E31)</f>
        <v>1269</v>
      </c>
      <c r="F32" s="4"/>
      <c r="H32" s="17" t="s">
        <v>48</v>
      </c>
      <c r="I32" s="17"/>
      <c r="J32" s="16">
        <f>SUM(J30:J31)</f>
        <v>17575</v>
      </c>
      <c r="K32" s="16"/>
      <c r="L32" s="16">
        <v>28191</v>
      </c>
      <c r="M32" s="16"/>
    </row>
    <row r="33" spans="1:17" x14ac:dyDescent="0.25">
      <c r="E33" s="4"/>
      <c r="F33" s="4"/>
      <c r="H33" s="19"/>
      <c r="I33" s="19"/>
      <c r="J33" s="18"/>
      <c r="K33" s="18"/>
      <c r="L33" s="18"/>
      <c r="M33" s="18"/>
    </row>
    <row r="34" spans="1:17" x14ac:dyDescent="0.25">
      <c r="A34" s="9" t="s">
        <v>49</v>
      </c>
      <c r="B34" s="9"/>
      <c r="C34" s="10"/>
      <c r="D34" s="10"/>
      <c r="E34" s="13"/>
      <c r="F34" s="4"/>
      <c r="H34" s="11" t="s">
        <v>50</v>
      </c>
      <c r="I34" s="11"/>
      <c r="J34" s="9"/>
      <c r="K34" s="9"/>
      <c r="L34" s="13"/>
      <c r="M34" s="13"/>
    </row>
    <row r="35" spans="1:17" ht="16.5" thickBot="1" x14ac:dyDescent="0.3">
      <c r="A35" s="2" t="s">
        <v>53</v>
      </c>
      <c r="C35" s="42">
        <v>-60418</v>
      </c>
      <c r="E35" s="42">
        <v>-48168</v>
      </c>
      <c r="F35" s="4"/>
      <c r="H35" s="2" t="s">
        <v>52</v>
      </c>
      <c r="J35" s="4">
        <v>0</v>
      </c>
      <c r="L35" s="4">
        <v>0</v>
      </c>
      <c r="M35" s="4"/>
    </row>
    <row r="36" spans="1:17" ht="16.5" thickTop="1" x14ac:dyDescent="0.25">
      <c r="A36" s="17" t="s">
        <v>55</v>
      </c>
      <c r="B36" s="17"/>
      <c r="C36" s="33">
        <f>+C35</f>
        <v>-60418</v>
      </c>
      <c r="D36" s="34"/>
      <c r="E36" s="16">
        <v>-48168</v>
      </c>
      <c r="F36" s="4"/>
      <c r="H36" s="2" t="s">
        <v>54</v>
      </c>
      <c r="I36" s="2" t="s">
        <v>94</v>
      </c>
      <c r="J36" s="44">
        <v>30030</v>
      </c>
      <c r="L36" s="44">
        <v>25065</v>
      </c>
      <c r="M36" s="4"/>
    </row>
    <row r="37" spans="1:17" x14ac:dyDescent="0.25">
      <c r="E37" s="4"/>
      <c r="F37" s="4"/>
      <c r="H37" s="17" t="s">
        <v>56</v>
      </c>
      <c r="I37" s="17"/>
      <c r="J37" s="16">
        <f t="shared" ref="J37" si="0">SUM(J35:J36)</f>
        <v>30030</v>
      </c>
      <c r="K37" s="16"/>
      <c r="L37" s="16">
        <v>25065</v>
      </c>
      <c r="M37" s="16"/>
    </row>
    <row r="38" spans="1:17" x14ac:dyDescent="0.25">
      <c r="A38" s="19" t="s">
        <v>57</v>
      </c>
      <c r="B38" s="19"/>
      <c r="C38" s="32">
        <v>0</v>
      </c>
      <c r="E38" s="32">
        <v>0</v>
      </c>
      <c r="F38" s="4"/>
    </row>
    <row r="39" spans="1:17" x14ac:dyDescent="0.25">
      <c r="E39" s="4"/>
      <c r="F39" s="4"/>
      <c r="L39" s="4"/>
      <c r="M39" s="4"/>
    </row>
    <row r="40" spans="1:17" ht="18.75" x14ac:dyDescent="0.3">
      <c r="A40" s="20" t="s">
        <v>46</v>
      </c>
      <c r="B40" s="20"/>
      <c r="C40" s="16">
        <f>+C38+C36+C32+C27+C25+C9</f>
        <v>-10616</v>
      </c>
      <c r="D40" s="16"/>
      <c r="E40" s="16">
        <f>+E38+E36+E32+E27+E25+E9</f>
        <v>-13668</v>
      </c>
      <c r="F40" s="4"/>
    </row>
    <row r="41" spans="1:17" ht="18.75" x14ac:dyDescent="0.3">
      <c r="F41" s="4"/>
      <c r="H41" s="20" t="s">
        <v>58</v>
      </c>
      <c r="I41" s="20"/>
      <c r="J41" s="16">
        <f>J25+J32+J37</f>
        <v>10127605</v>
      </c>
      <c r="K41" s="16"/>
      <c r="L41" s="16">
        <v>10133256</v>
      </c>
      <c r="M41" s="21"/>
    </row>
    <row r="42" spans="1:17" x14ac:dyDescent="0.25">
      <c r="F42" s="4"/>
      <c r="Q42" s="22"/>
    </row>
    <row r="43" spans="1:17" x14ac:dyDescent="0.25">
      <c r="F43" s="4"/>
      <c r="J43" s="2">
        <f t="shared" ref="J43" si="1">+J17-J41</f>
        <v>0</v>
      </c>
      <c r="K43" s="2"/>
      <c r="L43" s="2">
        <v>0</v>
      </c>
    </row>
    <row r="44" spans="1:17" x14ac:dyDescent="0.25">
      <c r="F44" s="18"/>
      <c r="N44" s="14"/>
    </row>
    <row r="47" spans="1:17" x14ac:dyDescent="0.25">
      <c r="A47" s="14"/>
      <c r="B47" s="14"/>
      <c r="D47" s="28"/>
      <c r="E47" s="14"/>
    </row>
    <row r="48" spans="1:17" x14ac:dyDescent="0.25">
      <c r="A48" s="14"/>
      <c r="B48" s="14"/>
      <c r="D48" s="28"/>
      <c r="E48" s="14"/>
      <c r="G48" s="14"/>
    </row>
    <row r="49" spans="1:7" x14ac:dyDescent="0.25">
      <c r="A49" s="14"/>
      <c r="B49" s="14"/>
      <c r="D49" s="28"/>
      <c r="E49" s="14"/>
      <c r="G49" s="14"/>
    </row>
    <row r="50" spans="1:7" x14ac:dyDescent="0.25">
      <c r="A50" s="14"/>
      <c r="B50" s="14"/>
      <c r="D50" s="28"/>
      <c r="E50" s="14"/>
      <c r="G50" s="14"/>
    </row>
    <row r="51" spans="1:7" x14ac:dyDescent="0.25">
      <c r="F51" s="14"/>
      <c r="G51" s="14"/>
    </row>
    <row r="52" spans="1:7" x14ac:dyDescent="0.25">
      <c r="F52" s="14"/>
    </row>
    <row r="53" spans="1:7" x14ac:dyDescent="0.25">
      <c r="F53" s="14"/>
    </row>
    <row r="54" spans="1:7" x14ac:dyDescent="0.25">
      <c r="F54" s="14"/>
    </row>
  </sheetData>
  <pageMargins left="0.7" right="0.7" top="0.75" bottom="0.75" header="0.3" footer="0.3"/>
  <pageSetup paperSize="9" scale="80" orientation="portrait" horizontalDpi="4294967293" r:id="rId1"/>
  <colBreaks count="2" manualBreakCount="2">
    <brk id="7" max="44" man="1"/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>
      <selection activeCell="G7" sqref="G7"/>
    </sheetView>
  </sheetViews>
  <sheetFormatPr defaultRowHeight="15.75" x14ac:dyDescent="0.25"/>
  <cols>
    <col min="1" max="1" width="7.42578125" style="46" customWidth="1"/>
    <col min="2" max="2" width="26.28515625" customWidth="1"/>
    <col min="3" max="3" width="6.7109375" customWidth="1"/>
    <col min="4" max="4" width="8.5703125" customWidth="1"/>
    <col min="5" max="5" width="10.7109375" customWidth="1"/>
    <col min="6" max="7" width="13" bestFit="1" customWidth="1"/>
    <col min="8" max="8" width="6.5703125" customWidth="1"/>
    <col min="10" max="10" width="9.28515625" customWidth="1"/>
    <col min="11" max="11" width="9.140625" customWidth="1"/>
    <col min="12" max="12" width="8.5703125" customWidth="1"/>
    <col min="13" max="13" width="10.7109375" bestFit="1" customWidth="1"/>
    <col min="14" max="14" width="9.5703125" bestFit="1" customWidth="1"/>
    <col min="17" max="22" width="0" hidden="1" customWidth="1"/>
  </cols>
  <sheetData>
    <row r="1" spans="1:21" ht="21" x14ac:dyDescent="0.35">
      <c r="A1" s="45" t="s">
        <v>118</v>
      </c>
    </row>
    <row r="2" spans="1:21" x14ac:dyDescent="0.25">
      <c r="A2" s="46" t="s">
        <v>63</v>
      </c>
      <c r="B2" s="18" t="s">
        <v>64</v>
      </c>
    </row>
    <row r="3" spans="1:21" x14ac:dyDescent="0.25">
      <c r="B3" s="205" t="s">
        <v>65</v>
      </c>
      <c r="C3" s="205"/>
      <c r="D3" s="205"/>
      <c r="E3" s="205"/>
      <c r="F3" s="205"/>
      <c r="G3" s="205"/>
      <c r="H3" s="47"/>
    </row>
    <row r="4" spans="1:21" x14ac:dyDescent="0.25">
      <c r="B4" s="206"/>
      <c r="C4" s="206"/>
      <c r="D4" s="206"/>
      <c r="E4" s="206"/>
      <c r="F4" s="206"/>
      <c r="G4" s="206"/>
    </row>
    <row r="5" spans="1:21" ht="16.5" thickBot="1" x14ac:dyDescent="0.3">
      <c r="A5" s="46" t="s">
        <v>66</v>
      </c>
      <c r="B5" s="46" t="s">
        <v>67</v>
      </c>
      <c r="F5" s="48"/>
    </row>
    <row r="6" spans="1:21" x14ac:dyDescent="0.25">
      <c r="B6" s="14" t="s">
        <v>68</v>
      </c>
      <c r="C6" s="49"/>
      <c r="D6" s="49"/>
      <c r="E6" s="49"/>
      <c r="F6" s="49"/>
      <c r="G6" s="14">
        <v>10078760</v>
      </c>
      <c r="J6" s="50" t="s">
        <v>62</v>
      </c>
      <c r="K6" s="51"/>
      <c r="L6" s="52" t="s">
        <v>69</v>
      </c>
      <c r="M6" s="53"/>
      <c r="N6" s="53"/>
      <c r="O6" s="207" t="s">
        <v>70</v>
      </c>
      <c r="Q6" s="73" t="s">
        <v>80</v>
      </c>
      <c r="R6" s="74"/>
      <c r="S6" s="74"/>
      <c r="T6" s="74"/>
      <c r="U6" s="75"/>
    </row>
    <row r="7" spans="1:21" x14ac:dyDescent="0.25">
      <c r="B7" s="14" t="s">
        <v>71</v>
      </c>
      <c r="C7" s="54">
        <f>+G7/G6</f>
        <v>0.84699992856264061</v>
      </c>
      <c r="D7" s="49" t="s">
        <v>72</v>
      </c>
      <c r="E7" s="55"/>
      <c r="F7" s="49"/>
      <c r="G7" s="14">
        <v>8536709</v>
      </c>
      <c r="J7" s="56"/>
      <c r="K7" s="57"/>
      <c r="L7" s="58" t="s">
        <v>73</v>
      </c>
      <c r="M7" s="59" t="s">
        <v>74</v>
      </c>
      <c r="N7" s="59" t="s">
        <v>75</v>
      </c>
      <c r="O7" s="208"/>
      <c r="Q7" s="76" t="s">
        <v>81</v>
      </c>
      <c r="R7" s="77"/>
      <c r="S7" s="78"/>
    </row>
    <row r="8" spans="1:21" x14ac:dyDescent="0.25">
      <c r="B8" s="14" t="s">
        <v>76</v>
      </c>
      <c r="C8" s="49"/>
      <c r="D8" s="49"/>
      <c r="E8" s="49"/>
      <c r="F8" s="49"/>
      <c r="G8" s="14">
        <v>60681</v>
      </c>
      <c r="H8" s="14"/>
      <c r="J8" s="60" t="s">
        <v>77</v>
      </c>
      <c r="K8" s="61"/>
      <c r="L8" s="62">
        <v>5</v>
      </c>
      <c r="M8" s="62">
        <v>403334</v>
      </c>
      <c r="N8" s="62">
        <f>+L8*M8</f>
        <v>2016670</v>
      </c>
      <c r="O8" s="63"/>
      <c r="Q8" s="79" t="s">
        <v>83</v>
      </c>
      <c r="R8" s="80" t="s">
        <v>84</v>
      </c>
      <c r="S8" s="80" t="s">
        <v>85</v>
      </c>
    </row>
    <row r="9" spans="1:21" ht="16.5" thickBot="1" x14ac:dyDescent="0.3">
      <c r="B9" s="14" t="s">
        <v>121</v>
      </c>
      <c r="C9" s="49"/>
      <c r="D9" s="49"/>
      <c r="E9" s="49"/>
      <c r="F9" s="49"/>
      <c r="G9" s="14">
        <v>367500</v>
      </c>
      <c r="H9" s="64"/>
      <c r="J9" s="65" t="s">
        <v>78</v>
      </c>
      <c r="K9" s="66"/>
      <c r="L9" s="67">
        <v>5</v>
      </c>
      <c r="M9" s="67">
        <v>605</v>
      </c>
      <c r="N9" s="68">
        <f>+M9*L9</f>
        <v>3025</v>
      </c>
      <c r="O9" s="69">
        <f>+G11*0.0015</f>
        <v>7128</v>
      </c>
      <c r="Q9" s="83">
        <f>-(T17*G8+T18*G7)</f>
        <v>-173768.22999999998</v>
      </c>
      <c r="R9" s="84">
        <f>-(T17*G8+T19*G7)</f>
        <v>-88401.14</v>
      </c>
      <c r="S9" s="84">
        <f>-(T17*G8+T20*G7)</f>
        <v>-45717.595000000001</v>
      </c>
    </row>
    <row r="10" spans="1:21" x14ac:dyDescent="0.25">
      <c r="H10" s="14"/>
    </row>
    <row r="11" spans="1:21" x14ac:dyDescent="0.25">
      <c r="B11" s="14" t="s">
        <v>79</v>
      </c>
      <c r="C11" s="49"/>
      <c r="D11" s="49"/>
      <c r="E11" s="49"/>
      <c r="F11" s="49"/>
      <c r="G11" s="14">
        <v>4752000</v>
      </c>
      <c r="H11" s="28"/>
    </row>
    <row r="12" spans="1:21" x14ac:dyDescent="0.25">
      <c r="B12" s="70" t="s">
        <v>114</v>
      </c>
      <c r="C12" s="49"/>
      <c r="D12" s="49"/>
      <c r="E12" s="49"/>
      <c r="F12" s="49"/>
      <c r="G12" s="14">
        <v>4027000</v>
      </c>
      <c r="H12" s="14"/>
      <c r="I12" s="2"/>
    </row>
    <row r="13" spans="1:21" x14ac:dyDescent="0.25">
      <c r="B13" s="71"/>
      <c r="F13" s="2"/>
      <c r="G13" s="2"/>
      <c r="H13" s="14"/>
      <c r="J13" s="73" t="s">
        <v>80</v>
      </c>
      <c r="K13" s="74"/>
      <c r="L13" s="74"/>
      <c r="M13" s="74"/>
      <c r="N13" s="75"/>
    </row>
    <row r="14" spans="1:21" x14ac:dyDescent="0.25">
      <c r="B14" s="18" t="s">
        <v>49</v>
      </c>
      <c r="F14" s="72" t="s">
        <v>130</v>
      </c>
      <c r="G14" s="72" t="s">
        <v>123</v>
      </c>
      <c r="H14" s="14"/>
      <c r="J14" s="76" t="s">
        <v>81</v>
      </c>
      <c r="K14" s="77"/>
      <c r="L14" s="78"/>
    </row>
    <row r="15" spans="1:21" x14ac:dyDescent="0.25">
      <c r="B15" s="14" t="s">
        <v>71</v>
      </c>
      <c r="C15" s="49"/>
      <c r="D15" s="49"/>
      <c r="E15" s="49"/>
      <c r="F15" s="14">
        <v>8964890</v>
      </c>
      <c r="G15" s="14">
        <v>8964890</v>
      </c>
      <c r="H15" s="14"/>
      <c r="J15" s="79" t="s">
        <v>83</v>
      </c>
      <c r="K15" s="80" t="s">
        <v>84</v>
      </c>
      <c r="L15" s="80" t="s">
        <v>85</v>
      </c>
    </row>
    <row r="16" spans="1:21" x14ac:dyDescent="0.25">
      <c r="B16" s="14" t="s">
        <v>82</v>
      </c>
      <c r="C16" s="49"/>
      <c r="D16" s="49"/>
      <c r="E16" s="49"/>
      <c r="F16" s="14">
        <f>G16+G17</f>
        <v>-401775</v>
      </c>
      <c r="G16" s="14">
        <v>-353607</v>
      </c>
      <c r="J16" s="83">
        <f>-(M24*G8+M26*G7)</f>
        <v>-173768.22999999998</v>
      </c>
      <c r="K16" s="84">
        <f>-(M24*G8+M27*G7)</f>
        <v>-88401.14</v>
      </c>
      <c r="L16" s="84">
        <f>-(M24*G8+M28*G7+G9*M25)</f>
        <v>-60417.595000000001</v>
      </c>
      <c r="Q16" s="58" t="s">
        <v>90</v>
      </c>
      <c r="R16" s="88"/>
      <c r="S16" s="59" t="s">
        <v>91</v>
      </c>
      <c r="T16" s="89" t="s">
        <v>92</v>
      </c>
    </row>
    <row r="17" spans="1:20" ht="16.5" thickBot="1" x14ac:dyDescent="0.3">
      <c r="B17" s="14" t="s">
        <v>86</v>
      </c>
      <c r="C17" s="49"/>
      <c r="D17" s="49"/>
      <c r="E17" s="49"/>
      <c r="F17" s="81">
        <f>+L16</f>
        <v>-60417.595000000001</v>
      </c>
      <c r="G17" s="81">
        <v>-48168</v>
      </c>
      <c r="Q17" s="90" t="s">
        <v>93</v>
      </c>
      <c r="R17" s="90"/>
      <c r="S17" s="90">
        <v>20</v>
      </c>
      <c r="T17" s="91">
        <f>1/S17</f>
        <v>0.05</v>
      </c>
    </row>
    <row r="18" spans="1:20" ht="16.5" thickTop="1" x14ac:dyDescent="0.25">
      <c r="B18" s="2"/>
      <c r="E18" s="85" t="s">
        <v>87</v>
      </c>
      <c r="F18" s="86">
        <f>SUM(F15:F17)</f>
        <v>8502697.4049999993</v>
      </c>
      <c r="G18" s="86">
        <f>SUM(G15:G17)</f>
        <v>8563115</v>
      </c>
      <c r="H18" s="47"/>
      <c r="Q18" s="90" t="s">
        <v>96</v>
      </c>
      <c r="R18" s="90"/>
      <c r="S18" s="90">
        <v>50</v>
      </c>
      <c r="T18" s="92">
        <f>1/S18</f>
        <v>0.02</v>
      </c>
    </row>
    <row r="19" spans="1:20" x14ac:dyDescent="0.25">
      <c r="B19" s="14"/>
      <c r="D19" s="14"/>
      <c r="E19" s="14"/>
      <c r="F19" s="14"/>
      <c r="G19" s="14"/>
      <c r="Q19" s="90" t="s">
        <v>96</v>
      </c>
      <c r="R19" s="90"/>
      <c r="S19" s="90">
        <v>100</v>
      </c>
      <c r="T19" s="92">
        <f>1/S19</f>
        <v>0.01</v>
      </c>
    </row>
    <row r="20" spans="1:20" x14ac:dyDescent="0.25">
      <c r="A20" s="46" t="s">
        <v>88</v>
      </c>
      <c r="B20" s="18" t="s">
        <v>14</v>
      </c>
      <c r="F20" s="87"/>
      <c r="G20" s="87"/>
      <c r="Q20" s="90" t="s">
        <v>96</v>
      </c>
      <c r="R20" s="90"/>
      <c r="S20" s="90">
        <v>200</v>
      </c>
      <c r="T20" s="92">
        <f>1/S20</f>
        <v>5.0000000000000001E-3</v>
      </c>
    </row>
    <row r="21" spans="1:20" x14ac:dyDescent="0.25">
      <c r="B21" s="209" t="s">
        <v>89</v>
      </c>
      <c r="C21" s="210"/>
      <c r="D21" s="210"/>
      <c r="E21" s="210"/>
      <c r="F21" s="14">
        <f>+G6-G7</f>
        <v>1542051</v>
      </c>
      <c r="G21" s="14">
        <v>1542051</v>
      </c>
    </row>
    <row r="22" spans="1:20" x14ac:dyDescent="0.25">
      <c r="B22" s="94"/>
      <c r="C22" s="95"/>
      <c r="D22" s="95"/>
      <c r="E22" s="95"/>
      <c r="F22" s="14"/>
      <c r="G22" s="14"/>
    </row>
    <row r="23" spans="1:20" x14ac:dyDescent="0.25">
      <c r="A23" s="46" t="s">
        <v>94</v>
      </c>
      <c r="B23" s="46" t="s">
        <v>95</v>
      </c>
      <c r="J23" s="58" t="s">
        <v>90</v>
      </c>
      <c r="K23" s="88"/>
      <c r="L23" s="59" t="s">
        <v>91</v>
      </c>
      <c r="M23" s="89" t="s">
        <v>92</v>
      </c>
    </row>
    <row r="24" spans="1:20" x14ac:dyDescent="0.25">
      <c r="B24" s="49" t="s">
        <v>97</v>
      </c>
      <c r="C24" s="49"/>
      <c r="D24" s="49"/>
      <c r="E24" s="49"/>
      <c r="F24" s="14">
        <v>11585</v>
      </c>
      <c r="G24" s="14">
        <v>11585</v>
      </c>
      <c r="J24" s="90" t="s">
        <v>93</v>
      </c>
      <c r="K24" s="90"/>
      <c r="L24" s="90">
        <v>20</v>
      </c>
      <c r="M24" s="92">
        <f>1/L24</f>
        <v>0.05</v>
      </c>
    </row>
    <row r="25" spans="1:20" x14ac:dyDescent="0.25">
      <c r="B25" s="49" t="s">
        <v>98</v>
      </c>
      <c r="C25" s="49"/>
      <c r="D25" s="49"/>
      <c r="E25" s="49"/>
      <c r="F25" s="14">
        <f>1302+4874+4806</f>
        <v>10982</v>
      </c>
      <c r="G25" s="14">
        <f>13480-3073</f>
        <v>10407</v>
      </c>
      <c r="J25" s="97" t="s">
        <v>128</v>
      </c>
      <c r="K25" s="98"/>
      <c r="L25" s="99">
        <v>25</v>
      </c>
      <c r="M25" s="92">
        <v>0.04</v>
      </c>
      <c r="N25" t="s">
        <v>129</v>
      </c>
    </row>
    <row r="26" spans="1:20" x14ac:dyDescent="0.25">
      <c r="B26" s="49" t="s">
        <v>138</v>
      </c>
      <c r="C26" s="49"/>
      <c r="D26" s="49"/>
      <c r="E26" s="49"/>
      <c r="F26" s="14">
        <v>3138</v>
      </c>
      <c r="G26" s="14">
        <v>3073</v>
      </c>
      <c r="J26" s="90" t="s">
        <v>96</v>
      </c>
      <c r="K26" s="90"/>
      <c r="L26" s="90">
        <v>50</v>
      </c>
      <c r="M26" s="92">
        <f>1/L26</f>
        <v>0.02</v>
      </c>
    </row>
    <row r="27" spans="1:20" x14ac:dyDescent="0.25">
      <c r="B27" s="49" t="s">
        <v>136</v>
      </c>
      <c r="C27" s="49"/>
      <c r="D27" s="49"/>
      <c r="E27" s="49"/>
      <c r="F27" s="14">
        <v>1125</v>
      </c>
      <c r="G27" s="14"/>
      <c r="J27" s="90" t="s">
        <v>96</v>
      </c>
      <c r="K27" s="90"/>
      <c r="L27" s="90">
        <v>100</v>
      </c>
      <c r="M27" s="92">
        <f>1/L27</f>
        <v>0.01</v>
      </c>
    </row>
    <row r="28" spans="1:20" x14ac:dyDescent="0.25">
      <c r="B28" s="49" t="s">
        <v>137</v>
      </c>
      <c r="C28" s="49"/>
      <c r="D28" s="49"/>
      <c r="E28" s="49"/>
      <c r="F28" s="14">
        <v>3200</v>
      </c>
      <c r="G28" s="14"/>
      <c r="J28" s="90" t="s">
        <v>96</v>
      </c>
      <c r="K28" s="90"/>
      <c r="L28" s="90">
        <v>200</v>
      </c>
      <c r="M28" s="92">
        <f>1/L28</f>
        <v>5.0000000000000001E-3</v>
      </c>
    </row>
    <row r="29" spans="1:20" ht="16.5" thickBot="1" x14ac:dyDescent="0.3">
      <c r="E29" s="85" t="s">
        <v>99</v>
      </c>
      <c r="F29" s="101">
        <f>SUM(F24:F28)</f>
        <v>30030</v>
      </c>
      <c r="G29" s="101">
        <f>SUM(G24:G28)</f>
        <v>25065</v>
      </c>
      <c r="M29" s="100"/>
    </row>
    <row r="30" spans="1:20" ht="16.5" thickTop="1" x14ac:dyDescent="0.25"/>
    <row r="31" spans="1:20" x14ac:dyDescent="0.25">
      <c r="A31" s="46" t="s">
        <v>100</v>
      </c>
      <c r="B31" s="46" t="s">
        <v>38</v>
      </c>
      <c r="F31" s="87"/>
      <c r="G31" s="87"/>
    </row>
    <row r="32" spans="1:20" x14ac:dyDescent="0.25">
      <c r="B32" s="49" t="s">
        <v>112</v>
      </c>
      <c r="C32" s="49"/>
      <c r="D32" s="49"/>
      <c r="E32" s="49"/>
      <c r="F32" s="14">
        <v>10080000</v>
      </c>
      <c r="G32" s="14">
        <v>10080000</v>
      </c>
    </row>
  </sheetData>
  <mergeCells count="3">
    <mergeCell ref="B3:G4"/>
    <mergeCell ref="O6:O7"/>
    <mergeCell ref="B21:E21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3"/>
  <sheetViews>
    <sheetView zoomScaleNormal="100" workbookViewId="0">
      <selection activeCell="C7" sqref="C7:E41"/>
    </sheetView>
  </sheetViews>
  <sheetFormatPr defaultColWidth="9.140625" defaultRowHeight="15.75" x14ac:dyDescent="0.25"/>
  <cols>
    <col min="1" max="1" width="42.28515625" style="2" customWidth="1"/>
    <col min="2" max="2" width="12" style="2" customWidth="1"/>
    <col min="3" max="3" width="16" style="35" customWidth="1"/>
    <col min="4" max="4" width="8.28515625" style="27" customWidth="1"/>
    <col min="5" max="5" width="15" style="2" customWidth="1"/>
    <col min="6" max="6" width="1.5703125" style="2" customWidth="1"/>
    <col min="7" max="7" width="3.28515625" style="2" customWidth="1"/>
    <col min="8" max="8" width="43" style="2" customWidth="1"/>
    <col min="9" max="9" width="12.28515625" style="2" customWidth="1"/>
    <col min="10" max="11" width="15.85546875" style="4" customWidth="1"/>
    <col min="12" max="12" width="15.85546875" style="2" customWidth="1"/>
    <col min="13" max="13" width="2" style="2" customWidth="1"/>
    <col min="14" max="14" width="8.85546875" style="2" bestFit="1" customWidth="1"/>
    <col min="15" max="16" width="9.140625" style="2"/>
    <col min="17" max="17" width="13.85546875" style="2" customWidth="1"/>
    <col min="18" max="16384" width="9.140625" style="2"/>
  </cols>
  <sheetData>
    <row r="1" spans="1:23" ht="21" x14ac:dyDescent="0.35">
      <c r="A1" s="1" t="s">
        <v>0</v>
      </c>
      <c r="B1" s="1"/>
      <c r="C1" s="32"/>
      <c r="H1" s="1" t="s">
        <v>1</v>
      </c>
      <c r="I1" s="1"/>
      <c r="J1" s="18"/>
      <c r="K1" s="18"/>
    </row>
    <row r="2" spans="1:23" ht="18.75" x14ac:dyDescent="0.3">
      <c r="A2" s="3" t="s">
        <v>2</v>
      </c>
      <c r="B2" s="3"/>
      <c r="H2" s="3" t="s">
        <v>2</v>
      </c>
      <c r="I2" s="3"/>
    </row>
    <row r="3" spans="1:23" x14ac:dyDescent="0.25">
      <c r="A3" s="4" t="s">
        <v>3</v>
      </c>
      <c r="B3" s="4"/>
      <c r="H3" s="4" t="s">
        <v>3</v>
      </c>
      <c r="I3" s="4"/>
    </row>
    <row r="4" spans="1:23" x14ac:dyDescent="0.25">
      <c r="A4" s="4" t="s">
        <v>124</v>
      </c>
      <c r="B4" s="4"/>
      <c r="H4" s="5" t="s">
        <v>127</v>
      </c>
      <c r="I4" s="5"/>
      <c r="J4" s="5"/>
      <c r="K4" s="5"/>
    </row>
    <row r="5" spans="1:23" x14ac:dyDescent="0.25">
      <c r="H5" s="6"/>
      <c r="I5" s="6"/>
      <c r="J5" s="6"/>
      <c r="K5" s="6"/>
    </row>
    <row r="6" spans="1:23" ht="18.75" x14ac:dyDescent="0.3">
      <c r="A6" s="7" t="s">
        <v>6</v>
      </c>
      <c r="B6" s="7"/>
      <c r="C6" s="32"/>
      <c r="H6" s="7" t="s">
        <v>7</v>
      </c>
      <c r="I6" s="7"/>
      <c r="J6" s="18"/>
      <c r="K6" s="18"/>
      <c r="M6" s="8"/>
    </row>
    <row r="7" spans="1:23" ht="18.75" x14ac:dyDescent="0.3">
      <c r="A7" s="9" t="s">
        <v>8</v>
      </c>
      <c r="B7" s="9"/>
      <c r="C7" s="10" t="s">
        <v>119</v>
      </c>
      <c r="D7" s="10"/>
      <c r="E7" s="10" t="s">
        <v>61</v>
      </c>
      <c r="F7" s="32"/>
      <c r="H7" s="11" t="s">
        <v>10</v>
      </c>
      <c r="I7" s="11"/>
      <c r="J7" s="26" t="s">
        <v>120</v>
      </c>
      <c r="K7" s="26"/>
      <c r="L7" s="26" t="s">
        <v>59</v>
      </c>
      <c r="M7" s="13"/>
      <c r="N7" s="14"/>
    </row>
    <row r="8" spans="1:23" s="14" customFormat="1" x14ac:dyDescent="0.25">
      <c r="A8" s="2" t="s">
        <v>11</v>
      </c>
      <c r="B8" s="2"/>
      <c r="C8" s="35">
        <v>139020</v>
      </c>
      <c r="D8" s="28"/>
      <c r="E8" s="35">
        <v>139020</v>
      </c>
      <c r="F8" s="4"/>
      <c r="G8" s="2"/>
      <c r="H8" s="2" t="s">
        <v>12</v>
      </c>
      <c r="I8" s="2" t="s">
        <v>66</v>
      </c>
      <c r="J8" s="4">
        <v>8563115</v>
      </c>
      <c r="K8" s="4"/>
      <c r="L8" s="4">
        <v>8243783</v>
      </c>
      <c r="M8" s="4"/>
      <c r="N8" s="2"/>
    </row>
    <row r="9" spans="1:23" s="14" customFormat="1" ht="16.5" thickBot="1" x14ac:dyDescent="0.3">
      <c r="A9" s="16" t="s">
        <v>15</v>
      </c>
      <c r="B9" s="16"/>
      <c r="C9" s="33">
        <v>139020</v>
      </c>
      <c r="D9" s="29"/>
      <c r="E9" s="16">
        <f>SUM(E8:E8)</f>
        <v>139020</v>
      </c>
      <c r="F9" s="4"/>
      <c r="G9" s="2"/>
      <c r="H9" s="2" t="s">
        <v>14</v>
      </c>
      <c r="I9" s="2" t="s">
        <v>88</v>
      </c>
      <c r="J9" s="15">
        <v>1542051</v>
      </c>
      <c r="K9" s="15"/>
      <c r="L9" s="15">
        <v>1542051</v>
      </c>
      <c r="M9" s="15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6.5" thickTop="1" x14ac:dyDescent="0.25">
      <c r="A10" s="23"/>
      <c r="B10" s="23"/>
      <c r="C10" s="36"/>
      <c r="D10" s="30"/>
      <c r="E10" s="23"/>
      <c r="F10" s="18"/>
      <c r="H10" s="17" t="s">
        <v>16</v>
      </c>
      <c r="I10" s="17"/>
      <c r="J10" s="16">
        <f>J8+J9</f>
        <v>10105166</v>
      </c>
      <c r="K10" s="16"/>
      <c r="L10" s="16">
        <f>SUM(L8:L9)</f>
        <v>9785834</v>
      </c>
      <c r="M10" s="16"/>
    </row>
    <row r="11" spans="1:23" s="25" customFormat="1" x14ac:dyDescent="0.25">
      <c r="A11" s="18"/>
      <c r="B11" s="18"/>
      <c r="C11" s="32"/>
      <c r="D11" s="31"/>
      <c r="E11" s="18"/>
      <c r="F11" s="18"/>
      <c r="H11" s="24"/>
      <c r="I11" s="24"/>
      <c r="J11" s="23"/>
      <c r="K11" s="23"/>
      <c r="L11" s="23"/>
      <c r="M11" s="23"/>
    </row>
    <row r="12" spans="1:23" ht="18.75" x14ac:dyDescent="0.3">
      <c r="A12" s="7" t="s">
        <v>17</v>
      </c>
      <c r="B12" s="7"/>
      <c r="C12" s="32"/>
      <c r="E12" s="4"/>
      <c r="F12" s="18"/>
      <c r="H12" s="43" t="s">
        <v>60</v>
      </c>
      <c r="I12" s="41" t="s">
        <v>94</v>
      </c>
      <c r="J12" s="38">
        <v>0</v>
      </c>
      <c r="K12" s="38"/>
      <c r="L12" s="38">
        <v>5462</v>
      </c>
      <c r="M12" s="38"/>
    </row>
    <row r="13" spans="1:23" s="14" customFormat="1" x14ac:dyDescent="0.25">
      <c r="A13" s="9" t="s">
        <v>18</v>
      </c>
      <c r="B13" s="9"/>
      <c r="C13" s="10"/>
      <c r="D13" s="10"/>
      <c r="E13" s="13"/>
      <c r="F13" s="4"/>
      <c r="G13" s="2"/>
      <c r="H13" s="19"/>
      <c r="I13" s="19"/>
      <c r="J13" s="18"/>
      <c r="K13" s="18"/>
      <c r="L13" s="18"/>
      <c r="M13" s="18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14" customFormat="1" x14ac:dyDescent="0.25">
      <c r="A14" s="2" t="s">
        <v>20</v>
      </c>
      <c r="B14" s="2"/>
      <c r="C14" s="35">
        <v>0</v>
      </c>
      <c r="D14" s="32"/>
      <c r="E14" s="35">
        <v>-700</v>
      </c>
      <c r="F14" s="4"/>
      <c r="G14" s="2"/>
      <c r="H14" s="11" t="s">
        <v>19</v>
      </c>
      <c r="I14" s="11"/>
      <c r="J14" s="9"/>
      <c r="K14" s="9"/>
      <c r="L14" s="13"/>
      <c r="M14" s="13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s="14" customFormat="1" x14ac:dyDescent="0.25">
      <c r="A15" s="2" t="s">
        <v>22</v>
      </c>
      <c r="B15" s="2" t="s">
        <v>104</v>
      </c>
      <c r="C15" s="35">
        <v>0</v>
      </c>
      <c r="D15" s="28"/>
      <c r="E15" s="35">
        <v>22201</v>
      </c>
      <c r="F15" s="4"/>
      <c r="G15" s="2"/>
      <c r="H15" s="2" t="s">
        <v>21</v>
      </c>
      <c r="I15" s="2"/>
      <c r="J15" s="4">
        <f>13764+14326</f>
        <v>28090</v>
      </c>
      <c r="K15" s="4"/>
      <c r="L15" s="4">
        <v>199447</v>
      </c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s="14" customFormat="1" x14ac:dyDescent="0.25">
      <c r="A16" s="2" t="s">
        <v>24</v>
      </c>
      <c r="B16" s="2"/>
      <c r="C16" s="35">
        <v>-26444</v>
      </c>
      <c r="D16" s="28"/>
      <c r="E16" s="35">
        <v>-3969</v>
      </c>
      <c r="F16" s="4"/>
      <c r="G16" s="2"/>
      <c r="H16" s="2" t="s">
        <v>23</v>
      </c>
      <c r="I16" s="2"/>
      <c r="J16" s="4">
        <v>0</v>
      </c>
      <c r="K16" s="4"/>
      <c r="L16" s="4">
        <v>156384</v>
      </c>
      <c r="M16" s="4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6" s="14" customFormat="1" x14ac:dyDescent="0.25">
      <c r="A17" s="2" t="s">
        <v>26</v>
      </c>
      <c r="B17" s="2"/>
      <c r="C17" s="35">
        <v>-10002</v>
      </c>
      <c r="D17" s="28"/>
      <c r="E17" s="35">
        <v>-10284</v>
      </c>
      <c r="F17" s="4"/>
      <c r="G17" s="2"/>
      <c r="H17" s="17" t="s">
        <v>25</v>
      </c>
      <c r="I17" s="17"/>
      <c r="J17" s="16">
        <f>J15+J16</f>
        <v>28090</v>
      </c>
      <c r="K17" s="16"/>
      <c r="L17" s="16">
        <f>SUM(L15:L16)</f>
        <v>355831</v>
      </c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6" s="14" customFormat="1" x14ac:dyDescent="0.25">
      <c r="A18" s="2" t="s">
        <v>27</v>
      </c>
      <c r="B18" s="2"/>
      <c r="C18" s="35">
        <v>-7102</v>
      </c>
      <c r="D18" s="28"/>
      <c r="E18" s="35">
        <v>-8227</v>
      </c>
      <c r="F18" s="4"/>
      <c r="G18" s="2"/>
      <c r="H18" s="19"/>
      <c r="I18" s="19"/>
      <c r="J18" s="18"/>
      <c r="K18" s="18"/>
      <c r="L18" s="18"/>
      <c r="M18" s="18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6" s="14" customFormat="1" ht="18.75" x14ac:dyDescent="0.3">
      <c r="A19" s="2" t="s">
        <v>29</v>
      </c>
      <c r="B19" s="2"/>
      <c r="C19" s="35">
        <v>-38929</v>
      </c>
      <c r="D19" s="28"/>
      <c r="E19" s="35">
        <v>-38449</v>
      </c>
      <c r="F19" s="4"/>
      <c r="G19" s="2"/>
      <c r="H19" s="20" t="s">
        <v>28</v>
      </c>
      <c r="I19" s="20"/>
      <c r="J19" s="16">
        <f>J10+J12+J17</f>
        <v>10133256</v>
      </c>
      <c r="K19" s="16"/>
      <c r="L19" s="16">
        <f t="shared" ref="L19" si="0">L10+L12+L17</f>
        <v>10147127</v>
      </c>
      <c r="M19" s="16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6" s="14" customFormat="1" ht="18.75" x14ac:dyDescent="0.3">
      <c r="A20" s="2" t="s">
        <v>30</v>
      </c>
      <c r="B20" s="2"/>
      <c r="C20" s="35">
        <v>-8540</v>
      </c>
      <c r="D20" s="28"/>
      <c r="E20" s="35">
        <v>-10333</v>
      </c>
      <c r="F20" s="4"/>
      <c r="G20" s="2"/>
      <c r="H20" s="7"/>
      <c r="I20" s="7"/>
      <c r="J20" s="18"/>
      <c r="K20" s="18"/>
      <c r="L20" s="18"/>
      <c r="M20" s="18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6" s="14" customFormat="1" x14ac:dyDescent="0.25">
      <c r="A21" s="2" t="s">
        <v>31</v>
      </c>
      <c r="B21" s="2"/>
      <c r="C21" s="35">
        <v>-5427</v>
      </c>
      <c r="D21" s="28"/>
      <c r="E21" s="35">
        <v>-5448</v>
      </c>
      <c r="F21" s="4"/>
      <c r="G21" s="2"/>
      <c r="J21" s="4"/>
      <c r="K21" s="4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6" s="14" customFormat="1" x14ac:dyDescent="0.25">
      <c r="A22" s="2" t="s">
        <v>32</v>
      </c>
      <c r="B22" s="2"/>
      <c r="C22" s="35">
        <v>-131</v>
      </c>
      <c r="D22" s="28"/>
      <c r="E22" s="35">
        <v>-778</v>
      </c>
      <c r="F22" s="4"/>
      <c r="G22" s="2"/>
      <c r="J22" s="4"/>
      <c r="K22" s="4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6" s="14" customFormat="1" x14ac:dyDescent="0.25">
      <c r="A23" s="2" t="s">
        <v>33</v>
      </c>
      <c r="B23" s="2"/>
      <c r="C23" s="35">
        <v>-1757</v>
      </c>
      <c r="D23" s="28"/>
      <c r="E23" s="35">
        <v>0</v>
      </c>
      <c r="F23" s="4"/>
      <c r="G23" s="2"/>
      <c r="J23" s="4"/>
      <c r="K23" s="4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6" s="14" customFormat="1" ht="18.75" x14ac:dyDescent="0.3">
      <c r="A24" s="2" t="s">
        <v>35</v>
      </c>
      <c r="B24" s="2"/>
      <c r="C24" s="35">
        <v>0</v>
      </c>
      <c r="D24" s="28"/>
      <c r="E24" s="35">
        <v>-1549</v>
      </c>
      <c r="F24" s="4"/>
      <c r="G24" s="2"/>
      <c r="H24" s="7" t="s">
        <v>34</v>
      </c>
      <c r="I24" s="7"/>
      <c r="J24" s="18"/>
      <c r="K24" s="18"/>
      <c r="L24" s="4"/>
      <c r="M24" s="4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6" s="14" customFormat="1" x14ac:dyDescent="0.25">
      <c r="A25" s="2" t="s">
        <v>37</v>
      </c>
      <c r="B25" s="2"/>
      <c r="C25" s="35">
        <f>-1000-2252</f>
        <v>-3252</v>
      </c>
      <c r="D25" s="28"/>
      <c r="E25" s="35">
        <v>-3526</v>
      </c>
      <c r="F25" s="4"/>
      <c r="G25" s="2"/>
      <c r="H25" s="11" t="s">
        <v>36</v>
      </c>
      <c r="I25" s="11"/>
      <c r="J25" s="9"/>
      <c r="K25" s="9"/>
      <c r="L25" s="9"/>
      <c r="M25" s="13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6" s="14" customFormat="1" ht="16.5" thickBot="1" x14ac:dyDescent="0.3">
      <c r="A26" s="2" t="s">
        <v>39</v>
      </c>
      <c r="B26" s="2"/>
      <c r="C26" s="42">
        <v>-1165</v>
      </c>
      <c r="D26" s="28"/>
      <c r="E26" s="42">
        <v>-866</v>
      </c>
      <c r="F26" s="4"/>
      <c r="G26" s="2"/>
      <c r="H26" s="2" t="s">
        <v>38</v>
      </c>
      <c r="I26" s="2" t="s">
        <v>108</v>
      </c>
      <c r="J26" s="15">
        <v>10080000</v>
      </c>
      <c r="K26" s="15"/>
      <c r="L26" s="15">
        <v>10080000</v>
      </c>
      <c r="M26" s="4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6" s="14" customFormat="1" ht="16.5" thickTop="1" x14ac:dyDescent="0.25">
      <c r="A27" s="16" t="s">
        <v>41</v>
      </c>
      <c r="B27" s="16"/>
      <c r="C27" s="33">
        <f>SUM(C14:C26)</f>
        <v>-102749</v>
      </c>
      <c r="D27" s="33"/>
      <c r="E27" s="16">
        <f>SUM(E14:E26)</f>
        <v>-61928</v>
      </c>
      <c r="F27" s="4"/>
      <c r="G27" s="2"/>
      <c r="H27" s="17" t="s">
        <v>40</v>
      </c>
      <c r="I27" s="17"/>
      <c r="J27" s="16">
        <v>10080000</v>
      </c>
      <c r="K27" s="16"/>
      <c r="L27" s="16">
        <f>+L26</f>
        <v>10080000</v>
      </c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6" x14ac:dyDescent="0.25">
      <c r="A28" s="23"/>
      <c r="B28" s="23"/>
      <c r="C28" s="36"/>
      <c r="D28" s="36"/>
      <c r="E28" s="23"/>
      <c r="F28" s="18"/>
      <c r="L28" s="4"/>
      <c r="M28" s="4"/>
    </row>
    <row r="29" spans="1:26" s="25" customFormat="1" x14ac:dyDescent="0.25">
      <c r="A29" s="38" t="s">
        <v>62</v>
      </c>
      <c r="B29" s="38"/>
      <c r="C29" s="39">
        <v>-3040</v>
      </c>
      <c r="D29" s="39"/>
      <c r="E29" s="39">
        <v>-3025</v>
      </c>
      <c r="F29" s="18"/>
      <c r="J29" s="37"/>
      <c r="K29" s="37"/>
      <c r="L29" s="37"/>
      <c r="M29" s="37"/>
    </row>
    <row r="30" spans="1:26" s="41" customFormat="1" x14ac:dyDescent="0.25">
      <c r="A30" s="14"/>
      <c r="B30" s="14"/>
      <c r="C30" s="35"/>
      <c r="D30" s="28"/>
      <c r="E30" s="22"/>
      <c r="F30" s="18"/>
      <c r="G30" s="25"/>
      <c r="H30" s="25"/>
      <c r="I30" s="25"/>
      <c r="J30" s="37"/>
      <c r="K30" s="37"/>
      <c r="L30" s="37"/>
      <c r="M30" s="40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x14ac:dyDescent="0.25">
      <c r="A31" s="9" t="s">
        <v>43</v>
      </c>
      <c r="B31" s="9"/>
      <c r="C31" s="10"/>
      <c r="D31" s="10"/>
      <c r="E31" s="13"/>
      <c r="F31" s="4"/>
      <c r="H31" s="11" t="s">
        <v>42</v>
      </c>
      <c r="I31" s="11"/>
      <c r="J31" s="9"/>
      <c r="K31" s="9"/>
      <c r="L31" s="13"/>
      <c r="M31" s="13"/>
    </row>
    <row r="32" spans="1:26" ht="16.5" thickBot="1" x14ac:dyDescent="0.3">
      <c r="A32" s="2" t="s">
        <v>45</v>
      </c>
      <c r="C32" s="42">
        <v>1269</v>
      </c>
      <c r="E32" s="42">
        <v>2638</v>
      </c>
      <c r="F32" s="4"/>
      <c r="H32" s="2" t="s">
        <v>44</v>
      </c>
      <c r="J32" s="4">
        <v>41859</v>
      </c>
      <c r="L32" s="4">
        <v>10872</v>
      </c>
      <c r="M32" s="4"/>
    </row>
    <row r="33" spans="1:17" ht="17.25" thickTop="1" thickBot="1" x14ac:dyDescent="0.3">
      <c r="A33" s="16" t="s">
        <v>47</v>
      </c>
      <c r="B33" s="16"/>
      <c r="C33" s="33">
        <f>+C32</f>
        <v>1269</v>
      </c>
      <c r="D33" s="33"/>
      <c r="E33" s="16">
        <f>+E32</f>
        <v>2638</v>
      </c>
      <c r="F33" s="4"/>
      <c r="H33" s="2" t="s">
        <v>46</v>
      </c>
      <c r="J33" s="15">
        <v>-13668</v>
      </c>
      <c r="K33" s="15"/>
      <c r="L33" s="15">
        <v>30987</v>
      </c>
      <c r="M33" s="4"/>
    </row>
    <row r="34" spans="1:17" ht="16.5" thickTop="1" x14ac:dyDescent="0.25">
      <c r="E34" s="4"/>
      <c r="F34" s="4"/>
      <c r="H34" s="17" t="s">
        <v>48</v>
      </c>
      <c r="I34" s="17"/>
      <c r="J34" s="16">
        <f>SUM(J32:J33)</f>
        <v>28191</v>
      </c>
      <c r="K34" s="16"/>
      <c r="L34" s="16">
        <f>SUM(L32:L33)</f>
        <v>41859</v>
      </c>
      <c r="M34" s="16"/>
    </row>
    <row r="35" spans="1:17" x14ac:dyDescent="0.25">
      <c r="A35" s="9" t="s">
        <v>49</v>
      </c>
      <c r="B35" s="9"/>
      <c r="C35" s="10"/>
      <c r="D35" s="10"/>
      <c r="E35" s="13"/>
      <c r="F35" s="4"/>
      <c r="H35" s="19"/>
      <c r="I35" s="19"/>
      <c r="J35" s="18"/>
      <c r="K35" s="18"/>
      <c r="L35" s="18"/>
      <c r="M35" s="18"/>
    </row>
    <row r="36" spans="1:17" ht="16.5" thickBot="1" x14ac:dyDescent="0.3">
      <c r="A36" s="2" t="s">
        <v>53</v>
      </c>
      <c r="C36" s="42">
        <v>-48168</v>
      </c>
      <c r="E36" s="42">
        <v>-45718</v>
      </c>
      <c r="F36" s="4"/>
      <c r="H36" s="11" t="s">
        <v>50</v>
      </c>
      <c r="I36" s="11"/>
      <c r="J36" s="9"/>
      <c r="K36" s="9"/>
      <c r="L36" s="13"/>
      <c r="M36" s="13"/>
    </row>
    <row r="37" spans="1:17" ht="16.5" thickTop="1" x14ac:dyDescent="0.25">
      <c r="A37" s="17" t="s">
        <v>55</v>
      </c>
      <c r="B37" s="17"/>
      <c r="C37" s="33">
        <f>+C36</f>
        <v>-48168</v>
      </c>
      <c r="D37" s="34"/>
      <c r="E37" s="16">
        <f>SUM(E36:E36)</f>
        <v>-45718</v>
      </c>
      <c r="F37" s="4"/>
      <c r="H37" s="2" t="s">
        <v>52</v>
      </c>
      <c r="J37" s="4">
        <v>0</v>
      </c>
      <c r="L37" s="4">
        <v>0</v>
      </c>
      <c r="M37" s="4"/>
    </row>
    <row r="38" spans="1:17" x14ac:dyDescent="0.25">
      <c r="E38" s="4"/>
      <c r="F38" s="4"/>
      <c r="H38" s="2" t="s">
        <v>54</v>
      </c>
      <c r="I38" s="2" t="s">
        <v>100</v>
      </c>
      <c r="J38" s="44">
        <v>25065</v>
      </c>
      <c r="L38" s="44">
        <v>25268</v>
      </c>
      <c r="M38" s="4"/>
    </row>
    <row r="39" spans="1:17" x14ac:dyDescent="0.25">
      <c r="A39" s="19" t="s">
        <v>57</v>
      </c>
      <c r="B39" s="19"/>
      <c r="C39" s="32">
        <v>0</v>
      </c>
      <c r="E39" s="32">
        <v>0</v>
      </c>
      <c r="F39" s="4"/>
      <c r="H39" s="17" t="s">
        <v>56</v>
      </c>
      <c r="I39" s="17"/>
      <c r="J39" s="16">
        <f t="shared" ref="J39" si="1">SUM(J37:J38)</f>
        <v>25065</v>
      </c>
      <c r="K39" s="16"/>
      <c r="L39" s="16">
        <f>SUM(L37:L38)</f>
        <v>25268</v>
      </c>
      <c r="M39" s="16"/>
    </row>
    <row r="40" spans="1:17" x14ac:dyDescent="0.25">
      <c r="E40" s="4"/>
      <c r="F40" s="4"/>
    </row>
    <row r="41" spans="1:17" ht="18.75" x14ac:dyDescent="0.3">
      <c r="A41" s="20" t="s">
        <v>46</v>
      </c>
      <c r="B41" s="20"/>
      <c r="C41" s="16">
        <f>+C39+C37+C32+C29+C27+C9</f>
        <v>-13668</v>
      </c>
      <c r="D41" s="16"/>
      <c r="E41" s="16">
        <f>+E39+E37+E32+E29+E27+E9</f>
        <v>30987</v>
      </c>
      <c r="F41" s="4"/>
      <c r="L41" s="4"/>
      <c r="M41" s="4"/>
    </row>
    <row r="42" spans="1:17" x14ac:dyDescent="0.25">
      <c r="F42" s="4"/>
      <c r="Q42" s="22"/>
    </row>
    <row r="43" spans="1:17" ht="18.75" x14ac:dyDescent="0.3">
      <c r="F43" s="18"/>
      <c r="H43" s="20" t="s">
        <v>58</v>
      </c>
      <c r="I43" s="20"/>
      <c r="J43" s="16">
        <f>J27+J34+J39</f>
        <v>10133256</v>
      </c>
      <c r="K43" s="16"/>
      <c r="L43" s="16">
        <f>+L39+L34+L27</f>
        <v>10147127</v>
      </c>
      <c r="M43" s="21"/>
    </row>
    <row r="44" spans="1:17" x14ac:dyDescent="0.25">
      <c r="N44" s="14"/>
    </row>
    <row r="45" spans="1:17" x14ac:dyDescent="0.25">
      <c r="J45" s="2">
        <f t="shared" ref="J45" si="2">+J19-J43</f>
        <v>0</v>
      </c>
      <c r="K45" s="2"/>
      <c r="L45" s="2">
        <f>+L19-L43</f>
        <v>0</v>
      </c>
    </row>
    <row r="48" spans="1:17" x14ac:dyDescent="0.25">
      <c r="A48" s="14"/>
      <c r="B48" s="14"/>
      <c r="D48" s="28"/>
      <c r="E48" s="14"/>
      <c r="G48" s="14"/>
    </row>
    <row r="49" spans="1:7" x14ac:dyDescent="0.25">
      <c r="A49" s="14"/>
      <c r="B49" s="14"/>
      <c r="D49" s="28"/>
      <c r="E49" s="14"/>
      <c r="G49" s="14"/>
    </row>
    <row r="50" spans="1:7" x14ac:dyDescent="0.25">
      <c r="A50" s="14"/>
      <c r="B50" s="14"/>
      <c r="D50" s="28"/>
      <c r="E50" s="14"/>
      <c r="F50" s="14"/>
      <c r="G50" s="14"/>
    </row>
    <row r="51" spans="1:7" x14ac:dyDescent="0.25">
      <c r="A51" s="14"/>
      <c r="B51" s="14"/>
      <c r="D51" s="28"/>
      <c r="E51" s="14"/>
      <c r="F51" s="14"/>
      <c r="G51" s="14"/>
    </row>
    <row r="52" spans="1:7" x14ac:dyDescent="0.25">
      <c r="F52" s="14"/>
    </row>
    <row r="53" spans="1:7" x14ac:dyDescent="0.25">
      <c r="F53" s="14"/>
    </row>
  </sheetData>
  <pageMargins left="0.7" right="0.7" top="0.75" bottom="0.75" header="0.3" footer="0.3"/>
  <pageSetup paperSize="9" scale="80" orientation="portrait" horizontalDpi="4294967293" r:id="rId1"/>
  <colBreaks count="2" manualBreakCount="2">
    <brk id="7" max="44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RR o BR 2022</vt:lpstr>
      <vt:lpstr>NOTER 2022</vt:lpstr>
      <vt:lpstr>Spec BR 2022</vt:lpstr>
      <vt:lpstr>Budget 2023</vt:lpstr>
      <vt:lpstr>RR o BR 2017</vt:lpstr>
      <vt:lpstr>NOTER 2017</vt:lpstr>
      <vt:lpstr>RR o BR 2016</vt:lpstr>
      <vt:lpstr>NOTER 2016</vt:lpstr>
      <vt:lpstr>RR o BR 2015</vt:lpstr>
      <vt:lpstr>NOTER 2015</vt:lpstr>
      <vt:lpstr>RR o BR 2014</vt:lpstr>
      <vt:lpstr>NOTER 2014</vt:lpstr>
      <vt:lpstr>Ver Avskrivning byggnad</vt:lpstr>
      <vt:lpstr>Ver Avskrivning inventarier</vt:lpstr>
      <vt:lpstr>Ombo resultat</vt:lpstr>
      <vt:lpstr>'RR o BR 2015'!Print_Area</vt:lpstr>
      <vt:lpstr>'RR o BR 2016'!Print_Area</vt:lpstr>
      <vt:lpstr>'RR o BR 2017'!Print_Area</vt:lpstr>
      <vt:lpstr>'RR o BR 2022'!Print_Area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Linus Wiberg</cp:lastModifiedBy>
  <cp:lastPrinted>2023-04-21T10:50:41Z</cp:lastPrinted>
  <dcterms:created xsi:type="dcterms:W3CDTF">2015-02-12T23:17:22Z</dcterms:created>
  <dcterms:modified xsi:type="dcterms:W3CDTF">2023-08-10T08:57:34Z</dcterms:modified>
</cp:coreProperties>
</file>