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300jy\Desktop\"/>
    </mc:Choice>
  </mc:AlternateContent>
  <xr:revisionPtr revIDLastSave="0" documentId="8_{37F0EEAC-E308-4468-BB99-BF1E939182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R BR 2023" sheetId="10" r:id="rId1"/>
    <sheet name="Kassaflöde 2023" sheetId="16" r:id="rId2"/>
    <sheet name="NOTER 2023" sheetId="11" r:id="rId3"/>
    <sheet name="Spec BR 2023" sheetId="12" r:id="rId4"/>
    <sheet name="Budget 2024" sheetId="13" r:id="rId5"/>
    <sheet name="RR o BR 2017" sheetId="8" state="hidden" r:id="rId6"/>
    <sheet name="NOTER 2017" sheetId="9" state="hidden" r:id="rId7"/>
    <sheet name="RR o BR 2016" sheetId="6" state="hidden" r:id="rId8"/>
    <sheet name="NOTER 2016" sheetId="7" state="hidden" r:id="rId9"/>
    <sheet name="RR o BR 2015" sheetId="4" state="hidden" r:id="rId10"/>
    <sheet name="NOTER 2015" sheetId="5" state="hidden" r:id="rId11"/>
    <sheet name="RR o BR 2014" sheetId="1" state="hidden" r:id="rId12"/>
    <sheet name="NOTER 2014" sheetId="2" state="hidden" r:id="rId13"/>
    <sheet name="Ver Avskrivning byggnad" sheetId="3" r:id="rId14"/>
    <sheet name="Ver Avskrivning inventarier" sheetId="14" r:id="rId15"/>
    <sheet name="Ombo resultat" sheetId="15" r:id="rId16"/>
  </sheets>
  <externalReferences>
    <externalReference r:id="rId17"/>
  </externalReferences>
  <definedNames>
    <definedName name="ID" localSheetId="4" hidden="1">"54b07cde-aacf-4dc9-a7c7-76937fc45bf4"</definedName>
    <definedName name="ID" localSheetId="1" hidden="1">"ad18dcd5-4b90-4cb4-8538-399faee4d7d0"</definedName>
    <definedName name="ID" localSheetId="12" hidden="1">"b3cbc644-4407-44e6-9417-14aaae97246a"</definedName>
    <definedName name="ID" localSheetId="10" hidden="1">"4b22eb5e-5931-41a2-8122-76345dc41f2c"</definedName>
    <definedName name="ID" localSheetId="8" hidden="1">"94cc99ab-d4f6-49b8-8c47-54e19d8c567e"</definedName>
    <definedName name="ID" localSheetId="6" hidden="1">"cba65512-0dda-4888-895e-a4eb97d02967"</definedName>
    <definedName name="ID" localSheetId="2" hidden="1">"8ff0977d-b3e6-4dd0-a968-445977a794f9"</definedName>
    <definedName name="ID" localSheetId="15" hidden="1">"1018038c-efac-4432-8f19-c3f5e36bf3fd"</definedName>
    <definedName name="ID" localSheetId="0" hidden="1">"fbfee323-5173-4e1a-aa3a-db07031b9a5f"</definedName>
    <definedName name="ID" localSheetId="11" hidden="1">"9e60259f-cf30-4937-9185-04dfacfd5cec"</definedName>
    <definedName name="ID" localSheetId="9" hidden="1">"9b4de527-2a6f-465b-a06b-1e8d5669c9c1"</definedName>
    <definedName name="ID" localSheetId="7" hidden="1">"701520cf-9ecd-46b6-997b-30a442f1e26a"</definedName>
    <definedName name="ID" localSheetId="5" hidden="1">"70885fa0-9006-4a28-b2f0-07104c23526d"</definedName>
    <definedName name="ID" localSheetId="3" hidden="1">"7fd4027a-e5e3-4028-8b5b-a22dc2067d00"</definedName>
    <definedName name="ID" localSheetId="13" hidden="1">"659f3dee-7097-4ed6-9730-fd9c61c1bf07"</definedName>
    <definedName name="ID" localSheetId="14" hidden="1">"a1b1c9e0-eedd-4972-8209-e713b3d4ab83"</definedName>
    <definedName name="_xlnm.Print_Area" localSheetId="0">'RR BR 2023'!$A$1:$AM$48</definedName>
    <definedName name="_xlnm.Print_Area" localSheetId="9">'RR o BR 2015'!$A$1:$M$45</definedName>
    <definedName name="_xlnm.Print_Area" localSheetId="7">'RR o BR 2016'!$A$1:$M$45</definedName>
    <definedName name="_xlnm.Print_Area" localSheetId="5">'RR o BR 2017'!$A$1:$Q$45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6" l="1"/>
  <c r="B14" i="16" s="1"/>
  <c r="B16" i="16" s="1"/>
  <c r="D12" i="16"/>
  <c r="D14" i="16" s="1"/>
  <c r="D16" i="16" s="1"/>
  <c r="F60" i="12"/>
  <c r="F32" i="12"/>
  <c r="H26" i="12"/>
  <c r="F15" i="12"/>
  <c r="F32" i="11"/>
  <c r="I25" i="11"/>
  <c r="H25" i="11" s="1"/>
  <c r="H24" i="11"/>
  <c r="S30" i="11"/>
  <c r="H18" i="3"/>
  <c r="V31" i="13" l="1"/>
  <c r="X31" i="13"/>
  <c r="Z31" i="13"/>
  <c r="AA31" i="13"/>
  <c r="AB31" i="13"/>
  <c r="AD31" i="13"/>
  <c r="AE31" i="13"/>
  <c r="AF31" i="13"/>
  <c r="AH31" i="13"/>
  <c r="AJ31" i="13"/>
  <c r="AL31" i="13"/>
  <c r="AN31" i="13"/>
  <c r="T31" i="13"/>
  <c r="V20" i="13"/>
  <c r="V9" i="13"/>
  <c r="W26" i="10"/>
  <c r="W27" i="10" s="1"/>
  <c r="W8" i="10"/>
  <c r="W11" i="10"/>
  <c r="B10" i="10"/>
  <c r="B22" i="10"/>
  <c r="F35" i="11"/>
  <c r="F39" i="11" l="1"/>
  <c r="F56" i="12"/>
  <c r="F47" i="12"/>
  <c r="F51" i="12" s="1"/>
  <c r="F31" i="11"/>
  <c r="F30" i="11"/>
  <c r="F59" i="12"/>
  <c r="I10" i="14"/>
  <c r="I9" i="14"/>
  <c r="G19" i="3"/>
  <c r="G18" i="3"/>
  <c r="V41" i="13"/>
  <c r="V34" i="13"/>
  <c r="V25" i="13"/>
  <c r="V27" i="13" s="1"/>
  <c r="T41" i="13"/>
  <c r="T34" i="13"/>
  <c r="T25" i="13"/>
  <c r="T27" i="13" s="1"/>
  <c r="F42" i="12"/>
  <c r="F33" i="12"/>
  <c r="F22" i="12"/>
  <c r="F11" i="12"/>
  <c r="F9" i="12"/>
  <c r="F21" i="11"/>
  <c r="W38" i="10"/>
  <c r="W32" i="10"/>
  <c r="W17" i="10"/>
  <c r="W12" i="10"/>
  <c r="B41" i="10"/>
  <c r="B36" i="10"/>
  <c r="B27" i="10"/>
  <c r="B29" i="10" s="1"/>
  <c r="B33" i="10" s="1"/>
  <c r="B45" i="10" s="1"/>
  <c r="X41" i="13"/>
  <c r="X34" i="13"/>
  <c r="X25" i="13"/>
  <c r="X27" i="13" s="1"/>
  <c r="Z41" i="13"/>
  <c r="Z34" i="13"/>
  <c r="Z25" i="13"/>
  <c r="Z27" i="13" s="1"/>
  <c r="Z36" i="13" s="1"/>
  <c r="AD41" i="13"/>
  <c r="AD34" i="13"/>
  <c r="AD25" i="13"/>
  <c r="AD27" i="13" s="1"/>
  <c r="G31" i="11"/>
  <c r="G36" i="11" s="1"/>
  <c r="X37" i="10"/>
  <c r="X38" i="10" s="1"/>
  <c r="X11" i="10"/>
  <c r="X8" i="10"/>
  <c r="D22" i="10"/>
  <c r="D16" i="10"/>
  <c r="D27" i="10" s="1"/>
  <c r="D29" i="10" s="1"/>
  <c r="D33" i="10" s="1"/>
  <c r="X17" i="10"/>
  <c r="Z8" i="10"/>
  <c r="Z12" i="10" s="1"/>
  <c r="Z17" i="10"/>
  <c r="Z37" i="10"/>
  <c r="Z38" i="10" s="1"/>
  <c r="D41" i="10"/>
  <c r="D36" i="10"/>
  <c r="G11" i="12"/>
  <c r="G47" i="12"/>
  <c r="G51" i="12" s="1"/>
  <c r="G42" i="12"/>
  <c r="G33" i="12"/>
  <c r="G22" i="12"/>
  <c r="G9" i="12"/>
  <c r="H9" i="12"/>
  <c r="H22" i="12"/>
  <c r="H33" i="12"/>
  <c r="H42" i="12"/>
  <c r="H47" i="12"/>
  <c r="H51" i="12" s="1"/>
  <c r="G21" i="11"/>
  <c r="D45" i="10" l="1"/>
  <c r="W40" i="10"/>
  <c r="G20" i="3"/>
  <c r="T45" i="13"/>
  <c r="V36" i="13"/>
  <c r="V45" i="13"/>
  <c r="T36" i="13"/>
  <c r="W42" i="10"/>
  <c r="W19" i="10"/>
  <c r="X12" i="10"/>
  <c r="X19" i="10" s="1"/>
  <c r="F36" i="11"/>
  <c r="AD36" i="13"/>
  <c r="Z19" i="10"/>
  <c r="Z45" i="13"/>
  <c r="X36" i="13"/>
  <c r="X45" i="13"/>
  <c r="AD45" i="13"/>
  <c r="W44" i="10" l="1"/>
  <c r="AB14" i="13"/>
  <c r="H31" i="11"/>
  <c r="H32" i="11"/>
  <c r="H10" i="14"/>
  <c r="K10" i="14"/>
  <c r="J9" i="14"/>
  <c r="J14" i="14" s="1"/>
  <c r="K9" i="14"/>
  <c r="K11" i="14"/>
  <c r="I14" i="14" l="1"/>
  <c r="K14" i="14"/>
  <c r="D5" i="14"/>
  <c r="D14" i="14"/>
  <c r="G10" i="14"/>
  <c r="G9" i="14"/>
  <c r="H9" i="14" s="1"/>
  <c r="H14" i="14" s="1"/>
  <c r="S34" i="11"/>
  <c r="F16" i="10"/>
  <c r="F25" i="12" l="1"/>
  <c r="G24" i="11"/>
  <c r="F24" i="11"/>
  <c r="G25" i="12"/>
  <c r="H25" i="12"/>
  <c r="V29" i="11"/>
  <c r="W29" i="11" s="1"/>
  <c r="H30" i="11"/>
  <c r="H36" i="11" s="1"/>
  <c r="H21" i="11"/>
  <c r="F41" i="10"/>
  <c r="F36" i="10"/>
  <c r="F27" i="10"/>
  <c r="F29" i="10" s="1"/>
  <c r="F33" i="10" s="1"/>
  <c r="F45" i="10" s="1"/>
  <c r="AB41" i="13"/>
  <c r="AB34" i="13"/>
  <c r="AB25" i="13"/>
  <c r="AB27" i="13" s="1"/>
  <c r="AB36" i="13" l="1"/>
  <c r="AB45" i="13"/>
  <c r="U25" i="3"/>
  <c r="U24" i="3"/>
  <c r="U23" i="3"/>
  <c r="N23" i="3"/>
  <c r="M23" i="3"/>
  <c r="L23" i="3"/>
  <c r="K23" i="3"/>
  <c r="U21" i="3"/>
  <c r="T18" i="3" s="1"/>
  <c r="O20" i="3"/>
  <c r="N18" i="3"/>
  <c r="C9" i="3"/>
  <c r="H19" i="3" l="1"/>
  <c r="I19" i="3"/>
  <c r="L19" i="3"/>
  <c r="D5" i="3"/>
  <c r="M19" i="3"/>
  <c r="J19" i="3"/>
  <c r="N19" i="3"/>
  <c r="M18" i="3" s="1"/>
  <c r="K19" i="3"/>
  <c r="K28" i="12"/>
  <c r="J28" i="12"/>
  <c r="V8" i="12"/>
  <c r="U8" i="12"/>
  <c r="U7" i="12"/>
  <c r="M20" i="3" l="1"/>
  <c r="L18" i="3"/>
  <c r="N20" i="3"/>
  <c r="AF40" i="13"/>
  <c r="AF41" i="13" s="1"/>
  <c r="AF17" i="13"/>
  <c r="AF16" i="13"/>
  <c r="AF14" i="13"/>
  <c r="I28" i="12"/>
  <c r="V9" i="11"/>
  <c r="V28" i="11"/>
  <c r="W28" i="11" s="1"/>
  <c r="W34" i="11" s="1"/>
  <c r="I27" i="11"/>
  <c r="AB11" i="10"/>
  <c r="F26" i="11" l="1"/>
  <c r="F27" i="12"/>
  <c r="H27" i="12"/>
  <c r="G26" i="11"/>
  <c r="G27" i="12"/>
  <c r="H26" i="11"/>
  <c r="G25" i="11" s="1"/>
  <c r="K18" i="3"/>
  <c r="J18" i="3" s="1"/>
  <c r="I18" i="3" s="1"/>
  <c r="L20" i="3"/>
  <c r="I30" i="11"/>
  <c r="AB37" i="10"/>
  <c r="AB8" i="10"/>
  <c r="AB12" i="10" s="1"/>
  <c r="H41" i="10"/>
  <c r="H18" i="10"/>
  <c r="H19" i="10"/>
  <c r="H16" i="10"/>
  <c r="I31" i="11"/>
  <c r="H36" i="10"/>
  <c r="I20" i="3" l="1"/>
  <c r="H20" i="3"/>
  <c r="H27" i="11"/>
  <c r="G26" i="12"/>
  <c r="H28" i="12"/>
  <c r="K20" i="3"/>
  <c r="J20" i="3"/>
  <c r="H27" i="10"/>
  <c r="AF25" i="13"/>
  <c r="AF27" i="13" s="1"/>
  <c r="AF34" i="13"/>
  <c r="I51" i="12"/>
  <c r="I42" i="12"/>
  <c r="I33" i="12"/>
  <c r="I22" i="12"/>
  <c r="I9" i="12"/>
  <c r="I36" i="11"/>
  <c r="I21" i="11"/>
  <c r="AB38" i="10"/>
  <c r="AB17" i="10"/>
  <c r="AB19" i="10" s="1"/>
  <c r="AF36" i="13" l="1"/>
  <c r="G27" i="11"/>
  <c r="F25" i="11"/>
  <c r="F27" i="11" s="1"/>
  <c r="G28" i="12"/>
  <c r="F26" i="12"/>
  <c r="F28" i="12" s="1"/>
  <c r="H29" i="10"/>
  <c r="H33" i="10" s="1"/>
  <c r="H45" i="10" s="1"/>
  <c r="AF45" i="13"/>
  <c r="AH14" i="13"/>
  <c r="J16" i="10"/>
  <c r="AD8" i="10"/>
  <c r="J60" i="12"/>
  <c r="I60" i="12" s="1"/>
  <c r="H60" i="12" s="1"/>
  <c r="H62" i="12" l="1"/>
  <c r="G60" i="12"/>
  <c r="I62" i="12"/>
  <c r="AH41" i="13"/>
  <c r="AH34" i="13"/>
  <c r="AH25" i="13"/>
  <c r="AH27" i="13" s="1"/>
  <c r="AH36" i="13" s="1"/>
  <c r="J62" i="12"/>
  <c r="J51" i="12"/>
  <c r="J42" i="12"/>
  <c r="J33" i="12"/>
  <c r="J22" i="12"/>
  <c r="J9" i="12"/>
  <c r="J36" i="11"/>
  <c r="J21" i="11"/>
  <c r="AD38" i="10"/>
  <c r="AD17" i="10"/>
  <c r="AD12" i="10"/>
  <c r="J41" i="10"/>
  <c r="J36" i="10"/>
  <c r="J27" i="10"/>
  <c r="J29" i="10" s="1"/>
  <c r="J33" i="10" s="1"/>
  <c r="J45" i="10" s="1"/>
  <c r="AD19" i="10" l="1"/>
  <c r="G62" i="12"/>
  <c r="F62" i="12"/>
  <c r="AH45" i="13"/>
  <c r="AR42" i="13"/>
  <c r="AP42" i="13"/>
  <c r="AR37" i="13"/>
  <c r="AP37" i="13"/>
  <c r="AR29" i="13"/>
  <c r="AP25" i="13"/>
  <c r="AP29" i="13" s="1"/>
  <c r="AR9" i="13"/>
  <c r="AN41" i="13"/>
  <c r="AN34" i="13"/>
  <c r="AN23" i="13"/>
  <c r="AN21" i="13"/>
  <c r="AN25" i="13" s="1"/>
  <c r="AN27" i="13" s="1"/>
  <c r="AN36" i="13" s="1"/>
  <c r="AR46" i="13" l="1"/>
  <c r="AN45" i="13"/>
  <c r="AP46" i="13"/>
  <c r="AL41" i="13"/>
  <c r="AJ41" i="13"/>
  <c r="AL34" i="13"/>
  <c r="AJ34" i="13"/>
  <c r="AL14" i="13"/>
  <c r="AL25" i="13" s="1"/>
  <c r="AL27" i="13" s="1"/>
  <c r="AL36" i="13" s="1"/>
  <c r="AJ14" i="13"/>
  <c r="AJ25" i="13" s="1"/>
  <c r="AJ27" i="13" s="1"/>
  <c r="B14" i="13"/>
  <c r="C16" i="13"/>
  <c r="A19" i="13"/>
  <c r="B19" i="13"/>
  <c r="B43" i="13"/>
  <c r="B48" i="13" s="1"/>
  <c r="C43" i="13"/>
  <c r="C48" i="13" s="1"/>
  <c r="A48" i="13"/>
  <c r="I47" i="13"/>
  <c r="I46" i="13"/>
  <c r="I45" i="13"/>
  <c r="I39" i="13"/>
  <c r="P18" i="13"/>
  <c r="P17" i="13"/>
  <c r="P16" i="13"/>
  <c r="P15" i="13"/>
  <c r="M7" i="13" s="1"/>
  <c r="K7" i="13"/>
  <c r="J7" i="13"/>
  <c r="J6" i="13"/>
  <c r="G14" i="13" l="1"/>
  <c r="AJ36" i="13"/>
  <c r="O7" i="13"/>
  <c r="AJ45" i="13"/>
  <c r="AL45" i="13"/>
  <c r="H14" i="13"/>
  <c r="A15" i="13" s="1"/>
  <c r="F14" i="13"/>
  <c r="N7" i="13"/>
  <c r="K62" i="12"/>
  <c r="K33" i="12"/>
  <c r="K51" i="12"/>
  <c r="K42" i="12"/>
  <c r="K22" i="12"/>
  <c r="M15" i="12"/>
  <c r="AA16" i="12"/>
  <c r="N17" i="12"/>
  <c r="AA17" i="12"/>
  <c r="AA18" i="12"/>
  <c r="AA19" i="12"/>
  <c r="L20" i="12"/>
  <c r="M20" i="12"/>
  <c r="T42" i="12"/>
  <c r="M45" i="12"/>
  <c r="M51" i="12" s="1"/>
  <c r="N45" i="12"/>
  <c r="N51" i="12" s="1"/>
  <c r="T47" i="12"/>
  <c r="T49" i="12"/>
  <c r="T50" i="12"/>
  <c r="L51" i="12"/>
  <c r="K9" i="12"/>
  <c r="AF15" i="10"/>
  <c r="AF8" i="10"/>
  <c r="L16" i="10"/>
  <c r="Y8" i="12" l="1"/>
  <c r="R15" i="12"/>
  <c r="B15" i="13"/>
  <c r="Z8" i="12"/>
  <c r="Q15" i="12"/>
  <c r="X8" i="12"/>
  <c r="S15" i="12"/>
  <c r="H16" i="12" s="1"/>
  <c r="K36" i="11"/>
  <c r="K21" i="11"/>
  <c r="AF40" i="10"/>
  <c r="AF34" i="10"/>
  <c r="AF17" i="10"/>
  <c r="AF12" i="10"/>
  <c r="L39" i="10"/>
  <c r="L34" i="10"/>
  <c r="L27" i="10"/>
  <c r="L36" i="11"/>
  <c r="T23" i="11"/>
  <c r="T22" i="11"/>
  <c r="T21" i="11"/>
  <c r="N31" i="11"/>
  <c r="N36" i="11" s="1"/>
  <c r="M31" i="11"/>
  <c r="M36" i="11" s="1"/>
  <c r="T19" i="11"/>
  <c r="M21" i="11"/>
  <c r="L21" i="11"/>
  <c r="AA20" i="11"/>
  <c r="AA19" i="11"/>
  <c r="AA18" i="11"/>
  <c r="N18" i="11"/>
  <c r="AA17" i="11"/>
  <c r="Y9" i="11" s="1"/>
  <c r="M16" i="11"/>
  <c r="U9" i="11"/>
  <c r="U8" i="11"/>
  <c r="C7" i="11"/>
  <c r="AJ40" i="10"/>
  <c r="AH40" i="10"/>
  <c r="P39" i="10"/>
  <c r="N39" i="10"/>
  <c r="AJ34" i="10"/>
  <c r="AH34" i="10"/>
  <c r="R34" i="10"/>
  <c r="R43" i="10" s="1"/>
  <c r="P34" i="10"/>
  <c r="N34" i="10"/>
  <c r="P25" i="10"/>
  <c r="P23" i="10"/>
  <c r="AJ17" i="10"/>
  <c r="AH17" i="10"/>
  <c r="N16" i="10"/>
  <c r="N27" i="10" s="1"/>
  <c r="AJ8" i="10"/>
  <c r="AJ12" i="10" s="1"/>
  <c r="AH8" i="10"/>
  <c r="AH12" i="10" s="1"/>
  <c r="AF19" i="10" l="1"/>
  <c r="AH44" i="10"/>
  <c r="AH46" i="10" s="1"/>
  <c r="AH19" i="10"/>
  <c r="AJ19" i="10"/>
  <c r="I16" i="12"/>
  <c r="J16" i="12"/>
  <c r="AJ44" i="10"/>
  <c r="AJ46" i="10" s="1"/>
  <c r="Z9" i="11"/>
  <c r="P27" i="10"/>
  <c r="P43" i="10" s="1"/>
  <c r="S16" i="11"/>
  <c r="Q16" i="11"/>
  <c r="R16" i="11"/>
  <c r="AF44" i="10"/>
  <c r="AD30" i="10"/>
  <c r="AD32" i="10" s="1"/>
  <c r="AD40" i="10" s="1"/>
  <c r="B16" i="13"/>
  <c r="A14" i="13"/>
  <c r="A16" i="13" s="1"/>
  <c r="N43" i="10"/>
  <c r="L16" i="12"/>
  <c r="M16" i="12"/>
  <c r="K16" i="12"/>
  <c r="L43" i="10"/>
  <c r="X9" i="11"/>
  <c r="L8" i="8"/>
  <c r="C14" i="8"/>
  <c r="F16" i="12" l="1"/>
  <c r="F17" i="11"/>
  <c r="L17" i="11"/>
  <c r="G16" i="12"/>
  <c r="G17" i="11"/>
  <c r="H17" i="11"/>
  <c r="I17" i="11"/>
  <c r="AF46" i="10"/>
  <c r="AD42" i="10"/>
  <c r="AD44" i="10" s="1"/>
  <c r="AB30" i="10"/>
  <c r="AB32" i="10" s="1"/>
  <c r="K17" i="11"/>
  <c r="J17" i="11"/>
  <c r="M17" i="11"/>
  <c r="M17" i="12"/>
  <c r="L15" i="12"/>
  <c r="L37" i="8"/>
  <c r="L32" i="8"/>
  <c r="L15" i="8"/>
  <c r="L10" i="8"/>
  <c r="L17" i="8" s="1"/>
  <c r="C36" i="8"/>
  <c r="C32" i="8"/>
  <c r="C25" i="8"/>
  <c r="F29" i="9"/>
  <c r="F21" i="9"/>
  <c r="N28" i="9"/>
  <c r="N27" i="9"/>
  <c r="N26" i="9"/>
  <c r="H25" i="9"/>
  <c r="H29" i="9" s="1"/>
  <c r="G25" i="9"/>
  <c r="G29" i="9" s="1"/>
  <c r="N24" i="9"/>
  <c r="M16" i="9" s="1"/>
  <c r="F17" i="9" s="1"/>
  <c r="G21" i="9"/>
  <c r="U20" i="9"/>
  <c r="U19" i="9"/>
  <c r="U18" i="9"/>
  <c r="R9" i="9" s="1"/>
  <c r="H18" i="9"/>
  <c r="U17" i="9"/>
  <c r="T9" i="9" s="1"/>
  <c r="G16" i="9"/>
  <c r="P9" i="9"/>
  <c r="O9" i="9"/>
  <c r="O8" i="9"/>
  <c r="C7" i="9"/>
  <c r="G40" i="8"/>
  <c r="N37" i="8"/>
  <c r="E36" i="8"/>
  <c r="N32" i="8"/>
  <c r="G32" i="8"/>
  <c r="E32" i="8"/>
  <c r="E23" i="8"/>
  <c r="E21" i="8"/>
  <c r="N15" i="8"/>
  <c r="N10" i="8"/>
  <c r="N8" i="8"/>
  <c r="AB40" i="10" l="1"/>
  <c r="Z30" i="10"/>
  <c r="Z32" i="10" s="1"/>
  <c r="X30" i="10" s="1"/>
  <c r="X32" i="10" s="1"/>
  <c r="AB42" i="10"/>
  <c r="AB44" i="10" s="1"/>
  <c r="N17" i="8"/>
  <c r="L17" i="12"/>
  <c r="K15" i="12"/>
  <c r="J15" i="12" s="1"/>
  <c r="E25" i="8"/>
  <c r="G17" i="9"/>
  <c r="N41" i="8"/>
  <c r="F16" i="9"/>
  <c r="F18" i="9" s="1"/>
  <c r="L16" i="11"/>
  <c r="M18" i="11"/>
  <c r="L41" i="8"/>
  <c r="L43" i="8" s="1"/>
  <c r="C40" i="8"/>
  <c r="G18" i="9"/>
  <c r="S9" i="9"/>
  <c r="L16" i="9"/>
  <c r="K16" i="9"/>
  <c r="E40" i="8"/>
  <c r="C7" i="7"/>
  <c r="F16" i="7"/>
  <c r="J8" i="6"/>
  <c r="E32" i="6"/>
  <c r="E40" i="6" s="1"/>
  <c r="C32" i="6"/>
  <c r="C21" i="6"/>
  <c r="C23" i="6"/>
  <c r="X42" i="10" l="1"/>
  <c r="X40" i="10"/>
  <c r="X44" i="10" s="1"/>
  <c r="Z42" i="10"/>
  <c r="Z40" i="10"/>
  <c r="Z44" i="10" s="1"/>
  <c r="J17" i="12"/>
  <c r="I15" i="12"/>
  <c r="H15" i="12" s="1"/>
  <c r="K17" i="12"/>
  <c r="N43" i="8"/>
  <c r="K16" i="11"/>
  <c r="L18" i="11"/>
  <c r="F25" i="7"/>
  <c r="F29" i="7" s="1"/>
  <c r="G25" i="7"/>
  <c r="G29" i="7" s="1"/>
  <c r="M28" i="7"/>
  <c r="M27" i="7"/>
  <c r="M26" i="7"/>
  <c r="M24" i="7"/>
  <c r="M28" i="5"/>
  <c r="L16" i="5" s="1"/>
  <c r="M27" i="5"/>
  <c r="M26" i="5"/>
  <c r="M24" i="5"/>
  <c r="O9" i="5"/>
  <c r="N9" i="5"/>
  <c r="F21" i="7"/>
  <c r="T20" i="7"/>
  <c r="T19" i="7"/>
  <c r="T18" i="7"/>
  <c r="G18" i="7"/>
  <c r="T17" i="7"/>
  <c r="O9" i="7"/>
  <c r="N9" i="7"/>
  <c r="N8" i="7"/>
  <c r="J37" i="6"/>
  <c r="C36" i="6"/>
  <c r="J32" i="6"/>
  <c r="C25" i="6"/>
  <c r="J15" i="6"/>
  <c r="J10" i="6"/>
  <c r="J17" i="6" s="1"/>
  <c r="H17" i="12" l="1"/>
  <c r="G15" i="12"/>
  <c r="I17" i="12"/>
  <c r="S9" i="7"/>
  <c r="J16" i="11"/>
  <c r="K18" i="11"/>
  <c r="J16" i="7"/>
  <c r="R9" i="7"/>
  <c r="K16" i="7"/>
  <c r="L16" i="7"/>
  <c r="F17" i="7" s="1"/>
  <c r="F18" i="7" s="1"/>
  <c r="C40" i="6"/>
  <c r="J41" i="6"/>
  <c r="J43" i="6" s="1"/>
  <c r="K16" i="5"/>
  <c r="J16" i="5"/>
  <c r="Q9" i="7"/>
  <c r="N8" i="5"/>
  <c r="C37" i="4"/>
  <c r="C41" i="4" s="1"/>
  <c r="J15" i="4"/>
  <c r="C33" i="4"/>
  <c r="C25" i="4"/>
  <c r="C27" i="4" s="1"/>
  <c r="G29" i="5"/>
  <c r="F29" i="5"/>
  <c r="T20" i="5"/>
  <c r="T19" i="5"/>
  <c r="T18" i="5"/>
  <c r="T17" i="5"/>
  <c r="F21" i="5"/>
  <c r="G18" i="5"/>
  <c r="F18" i="5"/>
  <c r="C7" i="5"/>
  <c r="J39" i="4"/>
  <c r="L34" i="4"/>
  <c r="J34" i="4"/>
  <c r="J17" i="4"/>
  <c r="L39" i="4"/>
  <c r="E37" i="4"/>
  <c r="E33" i="4"/>
  <c r="L27" i="4"/>
  <c r="E27" i="4"/>
  <c r="L17" i="4"/>
  <c r="L10" i="4"/>
  <c r="J10" i="4"/>
  <c r="E9" i="4"/>
  <c r="F15" i="2"/>
  <c r="G28" i="2"/>
  <c r="F28" i="2"/>
  <c r="M27" i="2"/>
  <c r="M26" i="2"/>
  <c r="M25" i="2"/>
  <c r="M24" i="2"/>
  <c r="F20" i="2"/>
  <c r="O9" i="2"/>
  <c r="N9" i="2"/>
  <c r="N8" i="2"/>
  <c r="C7" i="2"/>
  <c r="C28" i="1"/>
  <c r="J17" i="1"/>
  <c r="J10" i="1"/>
  <c r="J19" i="1" s="1"/>
  <c r="J43" i="1"/>
  <c r="L38" i="1"/>
  <c r="L39" i="1" s="1"/>
  <c r="L43" i="1" s="1"/>
  <c r="E39" i="1"/>
  <c r="E34" i="1"/>
  <c r="L27" i="1"/>
  <c r="E26" i="1"/>
  <c r="E24" i="1"/>
  <c r="E17" i="1"/>
  <c r="E16" i="1"/>
  <c r="L15" i="1"/>
  <c r="L17" i="1" s="1"/>
  <c r="L9" i="1"/>
  <c r="E9" i="1"/>
  <c r="E10" i="1" s="1"/>
  <c r="G17" i="12" l="1"/>
  <c r="F17" i="12"/>
  <c r="J16" i="2"/>
  <c r="L16" i="2"/>
  <c r="L43" i="4"/>
  <c r="K16" i="2"/>
  <c r="E41" i="4"/>
  <c r="I16" i="11"/>
  <c r="J18" i="11"/>
  <c r="R9" i="5"/>
  <c r="Q9" i="5"/>
  <c r="S9" i="5"/>
  <c r="L19" i="4"/>
  <c r="L45" i="4" s="1"/>
  <c r="J43" i="4"/>
  <c r="J19" i="4"/>
  <c r="L10" i="1"/>
  <c r="L19" i="1" s="1"/>
  <c r="E28" i="1"/>
  <c r="E43" i="1" s="1"/>
  <c r="I18" i="11" l="1"/>
  <c r="H16" i="11"/>
  <c r="J45" i="4"/>
  <c r="G17" i="2"/>
  <c r="F17" i="2"/>
  <c r="H18" i="11" l="1"/>
  <c r="G16" i="11"/>
  <c r="F16" i="11" s="1"/>
  <c r="G18" i="11" l="1"/>
  <c r="F18" i="11"/>
</calcChain>
</file>

<file path=xl/sharedStrings.xml><?xml version="1.0" encoding="utf-8"?>
<sst xmlns="http://schemas.openxmlformats.org/spreadsheetml/2006/main" count="978" uniqueCount="261">
  <si>
    <t>Resultaträkning</t>
  </si>
  <si>
    <t>Balansräkning</t>
  </si>
  <si>
    <t>Brf Stören, Domaregatan 4a, 292 35 Kalmar</t>
  </si>
  <si>
    <t>OrgNr: 769617-1789</t>
  </si>
  <si>
    <t>1 Januari 2013 - 31 December 2013</t>
  </si>
  <si>
    <t>31 December 2013</t>
  </si>
  <si>
    <t>Intäkter</t>
  </si>
  <si>
    <t>Tillgångar</t>
  </si>
  <si>
    <t>Föreningens Intäkter</t>
  </si>
  <si>
    <t>År 2013</t>
  </si>
  <si>
    <t>Materiella Anläggningstillgångar</t>
  </si>
  <si>
    <t>Årsavgifter</t>
  </si>
  <si>
    <t>Byggnader</t>
  </si>
  <si>
    <t>Övriga Intäkter</t>
  </si>
  <si>
    <t>Mark</t>
  </si>
  <si>
    <t>Summa intäkter</t>
  </si>
  <si>
    <t>Summa Anläggningstillgångar</t>
  </si>
  <si>
    <t>Kostnader</t>
  </si>
  <si>
    <t>Föreningens Kostnader</t>
  </si>
  <si>
    <t>Omsättningstillgångar</t>
  </si>
  <si>
    <t>Registreringsavgifter</t>
  </si>
  <si>
    <t>Nordea Kalmar</t>
  </si>
  <si>
    <t>Självrisker försäkringsärende</t>
  </si>
  <si>
    <t>Nordea RänteKto 3m</t>
  </si>
  <si>
    <t>Reparationer och Underhåll</t>
  </si>
  <si>
    <t>Summa Omsättningstillgångar</t>
  </si>
  <si>
    <t>Vatten &amp; Avlopp</t>
  </si>
  <si>
    <t>Fastighet El</t>
  </si>
  <si>
    <t>Summa Tillgångar</t>
  </si>
  <si>
    <t>Fastighet Fjärrvärme</t>
  </si>
  <si>
    <t>Sophantering, renhållning</t>
  </si>
  <si>
    <t xml:space="preserve">Fastighet Försäkringar </t>
  </si>
  <si>
    <t>Förbrukningsmaterial</t>
  </si>
  <si>
    <t>Förbrukningsinventarier</t>
  </si>
  <si>
    <t>Skulder och Eget Kapital</t>
  </si>
  <si>
    <t>Snöröjning</t>
  </si>
  <si>
    <t>Bundet Eget Kapital</t>
  </si>
  <si>
    <t>IT &amp; Redovisningstjänster</t>
  </si>
  <si>
    <t>Insatser</t>
  </si>
  <si>
    <t>Bankavgifter</t>
  </si>
  <si>
    <t>Summa Bundet Eget Kapital</t>
  </si>
  <si>
    <t>Summa driftskostnader</t>
  </si>
  <si>
    <t>Fritt Eget Kapital</t>
  </si>
  <si>
    <t>Finansiella Intäkter och kostnader</t>
  </si>
  <si>
    <t>Balanserat Resultat</t>
  </si>
  <si>
    <t>Ränteintäkter</t>
  </si>
  <si>
    <t>Årets Resultat</t>
  </si>
  <si>
    <t>Summa Finansiella Intäkter och kostnader</t>
  </si>
  <si>
    <t>Summa Fritt Eget Kapital</t>
  </si>
  <si>
    <t>Avskrivningar</t>
  </si>
  <si>
    <t>Kortfristiga Skulder</t>
  </si>
  <si>
    <t>Avskrivningar Tilläggsinvesteringar</t>
  </si>
  <si>
    <t>Leverantörsskulder</t>
  </si>
  <si>
    <t>Avskrivning Byggnad</t>
  </si>
  <si>
    <t>Upplupna kostnader, förutbetalda intäkter</t>
  </si>
  <si>
    <t>Summa Avskrivningar</t>
  </si>
  <si>
    <t>Summa Kortfristiga Skulder</t>
  </si>
  <si>
    <t>Årets Skattekostnad</t>
  </si>
  <si>
    <t>Summa Skulder och Eget Kapital</t>
  </si>
  <si>
    <t>2014-dec-31</t>
  </si>
  <si>
    <t>Upplupna hyresintäkter</t>
  </si>
  <si>
    <t>År 2014</t>
  </si>
  <si>
    <t>Fastighetsskatt</t>
  </si>
  <si>
    <t>Not 1</t>
  </si>
  <si>
    <t>Redovisningsprinciper</t>
  </si>
  <si>
    <t>Tillgångar och skulder är upptagna till anskaffningsvärdet respektive nominellt belopp, om ej annat framgår av efterföljande notanteckning.</t>
  </si>
  <si>
    <t>Not 2</t>
  </si>
  <si>
    <t>Byggnader, grunduppgifter</t>
  </si>
  <si>
    <t>Anskaffningsvärde, Fastigheten Stören 23</t>
  </si>
  <si>
    <t>Underlag för fastighetsavgift</t>
  </si>
  <si>
    <t>0,15% av Taxvärde</t>
  </si>
  <si>
    <t>Anskaffningsvärde byggnad</t>
  </si>
  <si>
    <t>av fastighet</t>
  </si>
  <si>
    <t>Ant Lägh</t>
  </si>
  <si>
    <t>Avg/lägh</t>
  </si>
  <si>
    <t>FastAvg</t>
  </si>
  <si>
    <t>Fasadrenovering 2011 (5%)</t>
  </si>
  <si>
    <t>Beräkna FastAvgift</t>
  </si>
  <si>
    <t>Fast.Avgift halv</t>
  </si>
  <si>
    <t>Taxeringsvärde fastighet</t>
  </si>
  <si>
    <t>Ändra i det gula fältet. Välj mellan 50, 100 eller 200 år</t>
  </si>
  <si>
    <t>Beräkning av avskrivning</t>
  </si>
  <si>
    <t>Ack avskrivningar</t>
  </si>
  <si>
    <t>50år</t>
  </si>
  <si>
    <t>100år</t>
  </si>
  <si>
    <t>200år</t>
  </si>
  <si>
    <t>Årets avskrivning</t>
  </si>
  <si>
    <t>Summa:</t>
  </si>
  <si>
    <t>Not 3</t>
  </si>
  <si>
    <t>Anskaffningsvärde Fastighet - Anskaffningsvärde Byggnad</t>
  </si>
  <si>
    <t>Avskrivnings objekt</t>
  </si>
  <si>
    <t>Antal år</t>
  </si>
  <si>
    <t>%</t>
  </si>
  <si>
    <t>Fasadrenovering</t>
  </si>
  <si>
    <t>Not 4</t>
  </si>
  <si>
    <t>Upplupna kostnader och förutbetalda intäkter</t>
  </si>
  <si>
    <t>Byggnad antal år</t>
  </si>
  <si>
    <t>Förutbetalda avgifter, hyra 1 mån</t>
  </si>
  <si>
    <t>Energikostnader/El</t>
  </si>
  <si>
    <t>Summa</t>
  </si>
  <si>
    <t>Not 5</t>
  </si>
  <si>
    <t>Försäkringsersättning</t>
  </si>
  <si>
    <t>Ersättning från försäkringsbolag i samband med översvämning</t>
  </si>
  <si>
    <t xml:space="preserve">den 27 juni. </t>
  </si>
  <si>
    <t>Not 6</t>
  </si>
  <si>
    <t>Självrisk Länsförsäkringar</t>
  </si>
  <si>
    <t>Erlagd självrisk i samband med översvämning 27 juni.</t>
  </si>
  <si>
    <t xml:space="preserve"> Avvakta besked om återbetalning från Kalmar Vatten AB.</t>
  </si>
  <si>
    <t>Not 7</t>
  </si>
  <si>
    <t>Nya möbler gästrum</t>
  </si>
  <si>
    <t>Utgifter i samband med översvämning 27 juni.</t>
  </si>
  <si>
    <t>Not 8</t>
  </si>
  <si>
    <t>Inbetalda insatser 5 st</t>
  </si>
  <si>
    <t>Noter 2014</t>
  </si>
  <si>
    <t>Taxeringsvärde byggnad</t>
  </si>
  <si>
    <t>2013 dec 31</t>
  </si>
  <si>
    <t>Upplupna Hyresintäkter</t>
  </si>
  <si>
    <t>Not 9</t>
  </si>
  <si>
    <t>Noter 2015</t>
  </si>
  <si>
    <t>År 2015</t>
  </si>
  <si>
    <t>2015-dec-31</t>
  </si>
  <si>
    <t>Fönsterrenovering 2015 (4%)</t>
  </si>
  <si>
    <t>2014 dec 31</t>
  </si>
  <si>
    <t>2015 dec 31</t>
  </si>
  <si>
    <t>1 Januari 2015 - 31 December 2015</t>
  </si>
  <si>
    <t xml:space="preserve">Återbetalning av självrisk från Kalmar Vatten </t>
  </si>
  <si>
    <t>i samband med översvämning 27 juni 2013.</t>
  </si>
  <si>
    <t>31 December 2015</t>
  </si>
  <si>
    <t>Fönsterrenovering</t>
  </si>
  <si>
    <t>Aktiverad nov 2015</t>
  </si>
  <si>
    <t>2016 dec 31</t>
  </si>
  <si>
    <t>1 Januari 2016 - 31 December 2016</t>
  </si>
  <si>
    <t>31 December 2016</t>
  </si>
  <si>
    <t>År 2016</t>
  </si>
  <si>
    <t>Räntekostnader</t>
  </si>
  <si>
    <t>2016-dec-31</t>
  </si>
  <si>
    <t>Beredskapsersättning OTAB</t>
  </si>
  <si>
    <t>Redovisningstjänster</t>
  </si>
  <si>
    <t>Fastighetsskatt, inkl ränta</t>
  </si>
  <si>
    <t>Noter 2017</t>
  </si>
  <si>
    <t>av fastighet (0,5%)</t>
  </si>
  <si>
    <t>År 2017</t>
  </si>
  <si>
    <t>1 Januari 2017 - 31 December 2017</t>
  </si>
  <si>
    <t>31 December 2017</t>
  </si>
  <si>
    <t xml:space="preserve"> 31 Dec 2017</t>
  </si>
  <si>
    <t xml:space="preserve"> 31 Dec 2016</t>
  </si>
  <si>
    <t>31 Dec 2017</t>
  </si>
  <si>
    <t>31 Dec 2016</t>
  </si>
  <si>
    <t>År 2018</t>
  </si>
  <si>
    <t xml:space="preserve"> 31 Dec 2018</t>
  </si>
  <si>
    <t>Org nr: 769617-1789</t>
  </si>
  <si>
    <t>Brf Stören, Domaregatan 4A, 292 35 Kalmar</t>
  </si>
  <si>
    <t>Fjärrvärme/El</t>
  </si>
  <si>
    <t xml:space="preserve">Fastighetsförsäkringar </t>
  </si>
  <si>
    <t xml:space="preserve">Fasadrenovering 2011 </t>
  </si>
  <si>
    <t xml:space="preserve">Fönsterrenovering 2015 </t>
  </si>
  <si>
    <t>Kto 1110 Byggnad</t>
  </si>
  <si>
    <t>31 Dec 2018</t>
  </si>
  <si>
    <t>Byggnader, anskaffningsvärde</t>
  </si>
  <si>
    <t>Kto 1119 Ack avskrivningar byggnad</t>
  </si>
  <si>
    <t xml:space="preserve">Anskaffningsvärde Fastighet </t>
  </si>
  <si>
    <t>- Anskaffningsvärde Byggnad</t>
  </si>
  <si>
    <t>Kto 1130 Mark</t>
  </si>
  <si>
    <t>Ack avskrivningar byggnad</t>
  </si>
  <si>
    <t>Förutbetalda intäkter</t>
  </si>
  <si>
    <t>Axelsson</t>
  </si>
  <si>
    <t>Carlsson</t>
  </si>
  <si>
    <t>Tell</t>
  </si>
  <si>
    <t>Kto 2970 Förutbetalda hyror Januari</t>
  </si>
  <si>
    <t>Kassa och Bank</t>
  </si>
  <si>
    <t>Kto 1940, Nordea plusgiro 596037-2</t>
  </si>
  <si>
    <t>Kto, 1950,Nordea sparkonto 3022 23 17744</t>
  </si>
  <si>
    <t>S:a Kassa &amp; Bank</t>
  </si>
  <si>
    <t>Eget kapital</t>
  </si>
  <si>
    <t>Kto 2099 Årets resultat</t>
  </si>
  <si>
    <t>Kto 2091 Balanserat resultat</t>
  </si>
  <si>
    <t>S:a Eget kapital</t>
  </si>
  <si>
    <t>År 2019</t>
  </si>
  <si>
    <t xml:space="preserve"> 31 Dec 2019</t>
  </si>
  <si>
    <t>31 Dec 2019</t>
  </si>
  <si>
    <t>Cangemark</t>
  </si>
  <si>
    <t xml:space="preserve"> 31 Dec 2020</t>
  </si>
  <si>
    <t>31 Dec 2020</t>
  </si>
  <si>
    <t>Avskrivning Inventarier</t>
  </si>
  <si>
    <t>År 2020</t>
  </si>
  <si>
    <t>Maskiner &amp; Inventarier</t>
  </si>
  <si>
    <t>Avskrivning Maskiner &amp; Inventarier</t>
  </si>
  <si>
    <t>Inventarier</t>
  </si>
  <si>
    <t>Anskaffningsvärde inventarier</t>
  </si>
  <si>
    <t>Inköpsår</t>
  </si>
  <si>
    <t>Antal år avskrivning</t>
  </si>
  <si>
    <t>Fläkt källare</t>
  </si>
  <si>
    <t>Kto 1220 Anskaffningsvärde Inventarier</t>
  </si>
  <si>
    <t>Kto 1229 Ack avskrivningar</t>
  </si>
  <si>
    <t>Kto 7832 Årets avskrivning</t>
  </si>
  <si>
    <t>Netto Inventarier</t>
  </si>
  <si>
    <t>Bu 2021</t>
  </si>
  <si>
    <t>0,3% av Taxvärde</t>
  </si>
  <si>
    <t>Ver:</t>
  </si>
  <si>
    <t>Avskrivning byggnad</t>
  </si>
  <si>
    <t>Avskrivning inventarier</t>
  </si>
  <si>
    <t>Kronor</t>
  </si>
  <si>
    <t>Anskaffning och avskrivning Inventarier</t>
  </si>
  <si>
    <t>Ombokning föregående års resultat i Eget kapital:</t>
  </si>
  <si>
    <t>Ombokning årets resultat:</t>
  </si>
  <si>
    <t>Datum:</t>
  </si>
  <si>
    <t>Bu 2022</t>
  </si>
  <si>
    <t>År 2021</t>
  </si>
  <si>
    <t xml:space="preserve"> 31 Dec 2021</t>
  </si>
  <si>
    <t>31 Dec 2021</t>
  </si>
  <si>
    <t>Laddstolpar</t>
  </si>
  <si>
    <t>Gamla inventarier</t>
  </si>
  <si>
    <t>Rörelseresultat</t>
  </si>
  <si>
    <t>Resultat före avskrivningar</t>
  </si>
  <si>
    <t>A 109</t>
  </si>
  <si>
    <t>Restvärde UB</t>
  </si>
  <si>
    <t>Restvärde IB</t>
  </si>
  <si>
    <t>Ackumulerade avskrivningar</t>
  </si>
  <si>
    <t>Vinterrengöring Ostkusten</t>
  </si>
  <si>
    <t>Vinterrengöring, Ostkusten</t>
  </si>
  <si>
    <t>31 Dec 2022</t>
  </si>
  <si>
    <t>År 2022</t>
  </si>
  <si>
    <t xml:space="preserve"> 31 Dec 2022</t>
  </si>
  <si>
    <t>-49.508,38</t>
  </si>
  <si>
    <t>Förbrukningsmaterial &amp; övrigt</t>
  </si>
  <si>
    <t>Wiberg/Mepol</t>
  </si>
  <si>
    <t>År 2023</t>
  </si>
  <si>
    <t xml:space="preserve"> 31 Dec 2023</t>
  </si>
  <si>
    <t>31 Dec 2023</t>
  </si>
  <si>
    <t>Specifikationer till Balansräkning 2023-12-31</t>
  </si>
  <si>
    <t>Bu 2024</t>
  </si>
  <si>
    <t>1 Januari 2022 - 31 December 2023</t>
  </si>
  <si>
    <t>31 December 2023</t>
  </si>
  <si>
    <t>Noter 2023</t>
  </si>
  <si>
    <t>A 100</t>
  </si>
  <si>
    <t>A 101</t>
  </si>
  <si>
    <t>Kto 2083, Inbetalda insatser</t>
  </si>
  <si>
    <t>Upplupna intäkter</t>
  </si>
  <si>
    <t>Elstöd</t>
  </si>
  <si>
    <t>El, dec 2023, Kalmar Energi</t>
  </si>
  <si>
    <t>Fjärrvärme, dec 2023, Kalmar Energi</t>
  </si>
  <si>
    <t>Ränta på sparkonto</t>
  </si>
  <si>
    <t>Redovisningstjänster, kv 4</t>
  </si>
  <si>
    <t>A 105</t>
  </si>
  <si>
    <t>Speedleger kv 4 2023</t>
  </si>
  <si>
    <t>Upplupna kostnader/intäkter och förutbetalda intäkter</t>
  </si>
  <si>
    <t>Kto 2960 &amp;2990 Upplupna ränta/kostnader</t>
  </si>
  <si>
    <t>Nordea Pluskonto</t>
  </si>
  <si>
    <t>Nordea Sparkonto</t>
  </si>
  <si>
    <t>Förslag till Budget 2024</t>
  </si>
  <si>
    <t>Resultat efter fastighetsskatt</t>
  </si>
  <si>
    <t>Kassaflödesanalys</t>
  </si>
  <si>
    <t>Ingånde kassa &amp; bank</t>
  </si>
  <si>
    <t>Räntenetto</t>
  </si>
  <si>
    <t>Årets investeringar</t>
  </si>
  <si>
    <t>Utgående kassa &amp; bank</t>
  </si>
  <si>
    <t>Årets kassaflöde</t>
  </si>
  <si>
    <t>Resutat efter fastighetsskatt</t>
  </si>
  <si>
    <t>Förändring i korta skulder</t>
  </si>
  <si>
    <t>Kapitaltillskott</t>
  </si>
  <si>
    <t>S:a Finansiella Intäkter och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</si>
</sst>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yyyy/mmm/dd"/>
    <numFmt numFmtId="166" formatCode="mmm/yyyy"/>
    <numFmt numFmtId="167" formatCode="0.0%"/>
    <numFmt numFmtId="168" formatCode="#,##0\ &quot;kr&quot;"/>
    <numFmt numFmtId="169" formatCode="_-* #,##0\ _k_r_-;\-* #,##0\ _k_r_-;_-* &quot;-&quot;??\ _k_r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31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3" fontId="4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3" fontId="6" fillId="0" borderId="0" xfId="0" applyNumberFormat="1" applyFont="1"/>
    <xf numFmtId="0" fontId="1" fillId="0" borderId="0" xfId="0" applyFont="1"/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right"/>
    </xf>
    <xf numFmtId="3" fontId="1" fillId="2" borderId="0" xfId="0" applyNumberFormat="1" applyFont="1" applyFill="1"/>
    <xf numFmtId="165" fontId="6" fillId="2" borderId="0" xfId="0" applyNumberFormat="1" applyFont="1" applyFill="1"/>
    <xf numFmtId="3" fontId="4" fillId="2" borderId="0" xfId="0" applyNumberFormat="1" applyFont="1" applyFill="1"/>
    <xf numFmtId="3" fontId="7" fillId="0" borderId="0" xfId="0" applyNumberFormat="1" applyFont="1"/>
    <xf numFmtId="3" fontId="4" fillId="0" borderId="1" xfId="0" applyNumberFormat="1" applyFont="1" applyBorder="1"/>
    <xf numFmtId="3" fontId="5" fillId="3" borderId="0" xfId="0" applyNumberFormat="1" applyFont="1" applyFill="1"/>
    <xf numFmtId="3" fontId="1" fillId="3" borderId="0" xfId="0" applyNumberFormat="1" applyFont="1" applyFill="1"/>
    <xf numFmtId="3" fontId="5" fillId="0" borderId="0" xfId="0" applyNumberFormat="1" applyFont="1"/>
    <xf numFmtId="3" fontId="1" fillId="0" borderId="0" xfId="0" applyNumberFormat="1" applyFont="1"/>
    <xf numFmtId="3" fontId="6" fillId="3" borderId="0" xfId="0" applyNumberFormat="1" applyFont="1" applyFill="1"/>
    <xf numFmtId="3" fontId="4" fillId="3" borderId="0" xfId="0" applyNumberFormat="1" applyFont="1" applyFill="1"/>
    <xf numFmtId="4" fontId="4" fillId="0" borderId="0" xfId="0" applyNumberFormat="1" applyFont="1"/>
    <xf numFmtId="3" fontId="5" fillId="4" borderId="0" xfId="0" applyNumberFormat="1" applyFont="1" applyFill="1"/>
    <xf numFmtId="3" fontId="1" fillId="4" borderId="0" xfId="0" applyNumberFormat="1" applyFont="1" applyFill="1"/>
    <xf numFmtId="3" fontId="0" fillId="4" borderId="0" xfId="0" applyNumberFormat="1" applyFill="1"/>
    <xf numFmtId="3" fontId="6" fillId="2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4" fillId="4" borderId="0" xfId="0" applyNumberFormat="1" applyFont="1" applyFill="1"/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right"/>
    </xf>
    <xf numFmtId="3" fontId="4" fillId="5" borderId="0" xfId="0" applyNumberFormat="1" applyFont="1" applyFill="1"/>
    <xf numFmtId="3" fontId="0" fillId="5" borderId="0" xfId="0" applyNumberFormat="1" applyFill="1"/>
    <xf numFmtId="3" fontId="4" fillId="0" borderId="1" xfId="0" applyNumberFormat="1" applyFont="1" applyBorder="1" applyAlignment="1">
      <alignment horizontal="right"/>
    </xf>
    <xf numFmtId="3" fontId="1" fillId="5" borderId="0" xfId="0" applyNumberFormat="1" applyFont="1" applyFill="1"/>
    <xf numFmtId="3" fontId="8" fillId="0" borderId="0" xfId="0" applyNumberFormat="1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wrapText="1"/>
    </xf>
    <xf numFmtId="166" fontId="0" fillId="0" borderId="0" xfId="0" applyNumberFormat="1" applyAlignment="1">
      <alignment horizontal="right"/>
    </xf>
    <xf numFmtId="0" fontId="7" fillId="0" borderId="0" xfId="0" applyFont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3" borderId="5" xfId="0" applyFill="1" applyBorder="1"/>
    <xf numFmtId="10" fontId="7" fillId="0" borderId="0" xfId="1" applyNumberFormat="1" applyFont="1"/>
    <xf numFmtId="9" fontId="7" fillId="0" borderId="0" xfId="1" applyFont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0" fillId="3" borderId="10" xfId="0" applyFill="1" applyBorder="1" applyAlignment="1">
      <alignment horizontal="right"/>
    </xf>
    <xf numFmtId="0" fontId="0" fillId="3" borderId="12" xfId="0" applyFill="1" applyBorder="1"/>
    <xf numFmtId="0" fontId="0" fillId="3" borderId="13" xfId="0" applyFill="1" applyBorder="1"/>
    <xf numFmtId="3" fontId="0" fillId="0" borderId="14" xfId="0" applyNumberFormat="1" applyBorder="1"/>
    <xf numFmtId="0" fontId="0" fillId="3" borderId="15" xfId="0" applyFill="1" applyBorder="1"/>
    <xf numFmtId="3" fontId="10" fillId="0" borderId="0" xfId="0" applyNumberFormat="1" applyFont="1"/>
    <xf numFmtId="0" fontId="0" fillId="3" borderId="16" xfId="0" applyFill="1" applyBorder="1"/>
    <xf numFmtId="0" fontId="0" fillId="3" borderId="17" xfId="0" applyFill="1" applyBorder="1"/>
    <xf numFmtId="0" fontId="0" fillId="0" borderId="18" xfId="0" applyBorder="1"/>
    <xf numFmtId="0" fontId="0" fillId="6" borderId="18" xfId="0" applyFill="1" applyBorder="1"/>
    <xf numFmtId="3" fontId="0" fillId="7" borderId="19" xfId="0" applyNumberFormat="1" applyFill="1" applyBorder="1"/>
    <xf numFmtId="3" fontId="11" fillId="0" borderId="0" xfId="0" applyNumberFormat="1" applyFont="1"/>
    <xf numFmtId="3" fontId="12" fillId="0" borderId="0" xfId="0" applyNumberFormat="1" applyFont="1"/>
    <xf numFmtId="165" fontId="1" fillId="3" borderId="0" xfId="0" applyNumberFormat="1" applyFont="1" applyFill="1" applyAlignment="1">
      <alignment horizontal="right"/>
    </xf>
    <xf numFmtId="0" fontId="0" fillId="8" borderId="9" xfId="0" applyFill="1" applyBorder="1"/>
    <xf numFmtId="0" fontId="0" fillId="8" borderId="10" xfId="0" applyFill="1" applyBorder="1"/>
    <xf numFmtId="0" fontId="0" fillId="8" borderId="13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14" xfId="0" applyFill="1" applyBorder="1"/>
    <xf numFmtId="0" fontId="0" fillId="3" borderId="23" xfId="0" applyFill="1" applyBorder="1"/>
    <xf numFmtId="3" fontId="7" fillId="0" borderId="1" xfId="0" applyNumberFormat="1" applyFont="1" applyBorder="1"/>
    <xf numFmtId="3" fontId="7" fillId="8" borderId="1" xfId="0" applyNumberFormat="1" applyFont="1" applyFill="1" applyBorder="1"/>
    <xf numFmtId="0" fontId="0" fillId="8" borderId="14" xfId="0" applyFill="1" applyBorder="1"/>
    <xf numFmtId="3" fontId="0" fillId="8" borderId="14" xfId="0" applyNumberFormat="1" applyFill="1" applyBorder="1"/>
    <xf numFmtId="0" fontId="0" fillId="9" borderId="0" xfId="0" applyFill="1"/>
    <xf numFmtId="3" fontId="0" fillId="9" borderId="0" xfId="0" applyNumberFormat="1" applyFill="1"/>
    <xf numFmtId="166" fontId="1" fillId="0" borderId="0" xfId="0" applyNumberFormat="1" applyFont="1" applyAlignment="1">
      <alignment horizontal="right"/>
    </xf>
    <xf numFmtId="0" fontId="0" fillId="3" borderId="10" xfId="0" applyFill="1" applyBorder="1"/>
    <xf numFmtId="0" fontId="0" fillId="3" borderId="13" xfId="0" applyFill="1" applyBorder="1" applyAlignment="1">
      <alignment horizontal="right"/>
    </xf>
    <xf numFmtId="0" fontId="0" fillId="0" borderId="14" xfId="0" applyBorder="1"/>
    <xf numFmtId="9" fontId="0" fillId="0" borderId="14" xfId="0" applyNumberFormat="1" applyBorder="1"/>
    <xf numFmtId="167" fontId="0" fillId="0" borderId="14" xfId="0" applyNumberFormat="1" applyBorder="1"/>
    <xf numFmtId="168" fontId="7" fillId="0" borderId="0" xfId="0" applyNumberFormat="1" applyFont="1"/>
    <xf numFmtId="3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3" fontId="5" fillId="0" borderId="0" xfId="0" applyNumberFormat="1" applyFont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14" xfId="0" applyBorder="1" applyAlignment="1">
      <alignment horizontal="right"/>
    </xf>
    <xf numFmtId="167" fontId="0" fillId="0" borderId="0" xfId="0" applyNumberFormat="1"/>
    <xf numFmtId="3" fontId="0" fillId="9" borderId="1" xfId="0" applyNumberFormat="1" applyFill="1" applyBorder="1"/>
    <xf numFmtId="3" fontId="6" fillId="2" borderId="0" xfId="0" quotePrefix="1" applyNumberFormat="1" applyFont="1" applyFill="1" applyAlignment="1">
      <alignment horizontal="right"/>
    </xf>
    <xf numFmtId="165" fontId="1" fillId="3" borderId="0" xfId="0" quotePrefix="1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/>
    <xf numFmtId="3" fontId="13" fillId="0" borderId="1" xfId="0" applyNumberFormat="1" applyFont="1" applyBorder="1"/>
    <xf numFmtId="3" fontId="14" fillId="0" borderId="0" xfId="0" applyNumberFormat="1" applyFont="1"/>
    <xf numFmtId="10" fontId="7" fillId="0" borderId="0" xfId="0" applyNumberFormat="1" applyFont="1"/>
    <xf numFmtId="167" fontId="7" fillId="0" borderId="0" xfId="1" applyNumberFormat="1" applyFont="1"/>
    <xf numFmtId="167" fontId="7" fillId="0" borderId="0" xfId="0" applyNumberFormat="1" applyFont="1"/>
    <xf numFmtId="3" fontId="7" fillId="0" borderId="0" xfId="0" quotePrefix="1" applyNumberFormat="1" applyFont="1" applyAlignment="1">
      <alignment horizontal="left" vertical="top" wrapText="1"/>
    </xf>
    <xf numFmtId="3" fontId="1" fillId="0" borderId="0" xfId="0" applyNumberFormat="1" applyFont="1" applyAlignment="1">
      <alignment vertical="top" wrapText="1"/>
    </xf>
    <xf numFmtId="169" fontId="0" fillId="0" borderId="0" xfId="2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left" vertical="top" wrapText="1"/>
    </xf>
    <xf numFmtId="0" fontId="15" fillId="0" borderId="0" xfId="0" applyFont="1"/>
    <xf numFmtId="3" fontId="4" fillId="10" borderId="0" xfId="0" applyNumberFormat="1" applyFont="1" applyFill="1" applyAlignment="1">
      <alignment horizontal="right"/>
    </xf>
    <xf numFmtId="3" fontId="5" fillId="10" borderId="0" xfId="0" applyNumberFormat="1" applyFont="1" applyFill="1" applyAlignment="1">
      <alignment horizontal="right"/>
    </xf>
    <xf numFmtId="3" fontId="13" fillId="10" borderId="0" xfId="0" applyNumberFormat="1" applyFont="1" applyFill="1" applyAlignment="1">
      <alignment horizontal="right"/>
    </xf>
    <xf numFmtId="3" fontId="13" fillId="10" borderId="1" xfId="0" applyNumberFormat="1" applyFont="1" applyFill="1" applyBorder="1" applyAlignment="1">
      <alignment horizontal="right"/>
    </xf>
    <xf numFmtId="3" fontId="4" fillId="10" borderId="1" xfId="0" applyNumberFormat="1" applyFont="1" applyFill="1" applyBorder="1" applyAlignment="1">
      <alignment horizontal="right"/>
    </xf>
    <xf numFmtId="3" fontId="17" fillId="3" borderId="0" xfId="0" applyNumberFormat="1" applyFont="1" applyFill="1" applyAlignment="1">
      <alignment horizontal="right"/>
    </xf>
    <xf numFmtId="3" fontId="17" fillId="4" borderId="0" xfId="0" applyNumberFormat="1" applyFont="1" applyFill="1" applyAlignment="1">
      <alignment horizontal="right"/>
    </xf>
    <xf numFmtId="3" fontId="17" fillId="5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3" borderId="0" xfId="0" applyNumberFormat="1" applyFont="1" applyFill="1"/>
    <xf numFmtId="3" fontId="12" fillId="9" borderId="1" xfId="0" applyNumberFormat="1" applyFont="1" applyFill="1" applyBorder="1"/>
    <xf numFmtId="3" fontId="18" fillId="2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8" fillId="4" borderId="0" xfId="0" applyNumberFormat="1" applyFont="1" applyFill="1" applyAlignment="1">
      <alignment horizontal="right"/>
    </xf>
    <xf numFmtId="3" fontId="18" fillId="0" borderId="0" xfId="0" applyNumberFormat="1" applyFont="1" applyAlignment="1">
      <alignment horizontal="right"/>
    </xf>
    <xf numFmtId="0" fontId="0" fillId="0" borderId="22" xfId="0" applyBorder="1"/>
    <xf numFmtId="0" fontId="0" fillId="0" borderId="13" xfId="0" applyBorder="1"/>
    <xf numFmtId="0" fontId="0" fillId="0" borderId="23" xfId="0" applyBorder="1"/>
    <xf numFmtId="167" fontId="0" fillId="0" borderId="23" xfId="0" applyNumberFormat="1" applyBorder="1"/>
    <xf numFmtId="0" fontId="0" fillId="0" borderId="24" xfId="0" applyBorder="1"/>
    <xf numFmtId="0" fontId="0" fillId="0" borderId="20" xfId="0" applyBorder="1"/>
    <xf numFmtId="169" fontId="0" fillId="0" borderId="0" xfId="2" applyNumberFormat="1" applyFont="1" applyAlignment="1">
      <alignment horizontal="center"/>
    </xf>
    <xf numFmtId="169" fontId="12" fillId="0" borderId="0" xfId="2" applyNumberFormat="1" applyFont="1"/>
    <xf numFmtId="169" fontId="1" fillId="9" borderId="1" xfId="0" applyNumberFormat="1" applyFont="1" applyFill="1" applyBorder="1"/>
    <xf numFmtId="3" fontId="1" fillId="4" borderId="0" xfId="0" applyNumberFormat="1" applyFont="1" applyFill="1" applyAlignment="1">
      <alignment vertical="top" wrapText="1"/>
    </xf>
    <xf numFmtId="165" fontId="1" fillId="4" borderId="0" xfId="0" quotePrefix="1" applyNumberFormat="1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3" borderId="10" xfId="0" applyFill="1" applyBorder="1" applyAlignment="1">
      <alignment horizontal="left" wrapText="1"/>
    </xf>
    <xf numFmtId="0" fontId="0" fillId="3" borderId="13" xfId="0" applyFill="1" applyBorder="1" applyAlignment="1">
      <alignment horizontal="center"/>
    </xf>
    <xf numFmtId="164" fontId="0" fillId="0" borderId="23" xfId="2" applyFont="1" applyBorder="1"/>
    <xf numFmtId="0" fontId="0" fillId="3" borderId="13" xfId="0" applyFill="1" applyBorder="1" applyAlignment="1">
      <alignment horizontal="left" wrapText="1"/>
    </xf>
    <xf numFmtId="164" fontId="1" fillId="0" borderId="0" xfId="2" applyFont="1"/>
    <xf numFmtId="14" fontId="0" fillId="0" borderId="0" xfId="0" applyNumberFormat="1" applyAlignment="1">
      <alignment horizontal="left"/>
    </xf>
    <xf numFmtId="3" fontId="21" fillId="0" borderId="0" xfId="0" applyNumberFormat="1" applyFont="1"/>
    <xf numFmtId="3" fontId="22" fillId="0" borderId="0" xfId="0" applyNumberFormat="1" applyFont="1"/>
    <xf numFmtId="3" fontId="19" fillId="0" borderId="0" xfId="0" applyNumberFormat="1" applyFont="1"/>
    <xf numFmtId="3" fontId="20" fillId="0" borderId="0" xfId="0" applyNumberFormat="1" applyFont="1"/>
    <xf numFmtId="3" fontId="23" fillId="0" borderId="0" xfId="0" applyNumberFormat="1" applyFont="1"/>
    <xf numFmtId="3" fontId="19" fillId="10" borderId="0" xfId="0" applyNumberFormat="1" applyFont="1" applyFill="1" applyAlignment="1">
      <alignment horizontal="right"/>
    </xf>
    <xf numFmtId="3" fontId="18" fillId="10" borderId="0" xfId="0" applyNumberFormat="1" applyFont="1" applyFill="1" applyAlignment="1">
      <alignment horizontal="right"/>
    </xf>
    <xf numFmtId="0" fontId="20" fillId="0" borderId="0" xfId="0" applyFont="1"/>
    <xf numFmtId="3" fontId="18" fillId="3" borderId="0" xfId="0" applyNumberFormat="1" applyFont="1" applyFill="1" applyAlignment="1">
      <alignment horizontal="right"/>
    </xf>
    <xf numFmtId="3" fontId="18" fillId="0" borderId="0" xfId="0" applyNumberFormat="1" applyFont="1"/>
    <xf numFmtId="49" fontId="19" fillId="0" borderId="0" xfId="0" applyNumberFormat="1" applyFont="1"/>
    <xf numFmtId="49" fontId="18" fillId="0" borderId="0" xfId="0" applyNumberFormat="1" applyFont="1"/>
    <xf numFmtId="165" fontId="24" fillId="4" borderId="0" xfId="0" quotePrefix="1" applyNumberFormat="1" applyFont="1" applyFill="1" applyAlignment="1">
      <alignment horizontal="right"/>
    </xf>
    <xf numFmtId="0" fontId="20" fillId="0" borderId="0" xfId="0" applyFont="1" applyAlignment="1">
      <alignment vertical="top" wrapText="1"/>
    </xf>
    <xf numFmtId="3" fontId="11" fillId="0" borderId="1" xfId="0" applyNumberFormat="1" applyFont="1" applyBorder="1"/>
    <xf numFmtId="3" fontId="12" fillId="9" borderId="0" xfId="0" applyNumberFormat="1" applyFont="1" applyFill="1"/>
    <xf numFmtId="169" fontId="12" fillId="0" borderId="0" xfId="0" applyNumberFormat="1" applyFont="1"/>
    <xf numFmtId="164" fontId="0" fillId="0" borderId="0" xfId="0" applyNumberFormat="1"/>
    <xf numFmtId="169" fontId="0" fillId="0" borderId="13" xfId="2" applyNumberFormat="1" applyFont="1" applyBorder="1"/>
    <xf numFmtId="3" fontId="17" fillId="2" borderId="0" xfId="0" applyNumberFormat="1" applyFont="1" applyFill="1"/>
    <xf numFmtId="3" fontId="17" fillId="10" borderId="0" xfId="0" applyNumberFormat="1" applyFont="1" applyFill="1" applyAlignment="1">
      <alignment horizontal="right"/>
    </xf>
    <xf numFmtId="0" fontId="24" fillId="0" borderId="0" xfId="0" applyFont="1"/>
    <xf numFmtId="3" fontId="25" fillId="2" borderId="0" xfId="0" quotePrefix="1" applyNumberFormat="1" applyFont="1" applyFill="1" applyAlignment="1">
      <alignment horizontal="right"/>
    </xf>
    <xf numFmtId="3" fontId="6" fillId="4" borderId="0" xfId="0" applyNumberFormat="1" applyFont="1" applyFill="1"/>
    <xf numFmtId="3" fontId="7" fillId="4" borderId="0" xfId="0" applyNumberFormat="1" applyFont="1" applyFill="1"/>
    <xf numFmtId="164" fontId="0" fillId="0" borderId="14" xfId="2" applyFont="1" applyBorder="1"/>
    <xf numFmtId="164" fontId="0" fillId="0" borderId="0" xfId="2" applyFont="1" applyAlignment="1">
      <alignment horizontal="center"/>
    </xf>
    <xf numFmtId="164" fontId="0" fillId="0" borderId="13" xfId="2" applyFont="1" applyBorder="1"/>
    <xf numFmtId="164" fontId="0" fillId="0" borderId="13" xfId="0" applyNumberFormat="1" applyBorder="1"/>
    <xf numFmtId="164" fontId="0" fillId="0" borderId="22" xfId="0" applyNumberFormat="1" applyBorder="1"/>
    <xf numFmtId="164" fontId="12" fillId="0" borderId="0" xfId="0" applyNumberFormat="1" applyFont="1"/>
    <xf numFmtId="164" fontId="1" fillId="0" borderId="0" xfId="2" quotePrefix="1" applyFont="1"/>
    <xf numFmtId="3" fontId="17" fillId="4" borderId="0" xfId="0" applyNumberFormat="1" applyFont="1" applyFill="1"/>
    <xf numFmtId="3" fontId="17" fillId="0" borderId="0" xfId="0" applyNumberFormat="1" applyFont="1"/>
    <xf numFmtId="169" fontId="12" fillId="4" borderId="0" xfId="2" applyNumberFormat="1" applyFont="1" applyFill="1"/>
    <xf numFmtId="169" fontId="7" fillId="0" borderId="0" xfId="2" applyNumberFormat="1" applyFont="1"/>
    <xf numFmtId="3" fontId="11" fillId="0" borderId="25" xfId="0" applyNumberFormat="1" applyFont="1" applyBorder="1"/>
    <xf numFmtId="165" fontId="27" fillId="3" borderId="0" xfId="0" quotePrefix="1" applyNumberFormat="1" applyFont="1" applyFill="1" applyAlignment="1">
      <alignment horizontal="right"/>
    </xf>
    <xf numFmtId="164" fontId="0" fillId="8" borderId="0" xfId="0" applyNumberFormat="1" applyFill="1"/>
    <xf numFmtId="3" fontId="1" fillId="9" borderId="1" xfId="0" applyNumberFormat="1" applyFont="1" applyFill="1" applyBorder="1" applyAlignment="1">
      <alignment horizontal="center" vertical="top" wrapText="1"/>
    </xf>
    <xf numFmtId="3" fontId="1" fillId="9" borderId="1" xfId="0" applyNumberFormat="1" applyFont="1" applyFill="1" applyBorder="1" applyAlignment="1">
      <alignment horizontal="center" vertical="center" wrapText="1"/>
    </xf>
    <xf numFmtId="3" fontId="16" fillId="9" borderId="1" xfId="0" applyNumberFormat="1" applyFont="1" applyFill="1" applyBorder="1" applyAlignment="1">
      <alignment horizontal="center"/>
    </xf>
    <xf numFmtId="169" fontId="11" fillId="4" borderId="26" xfId="2" applyNumberFormat="1" applyFont="1" applyFill="1" applyBorder="1"/>
    <xf numFmtId="169" fontId="10" fillId="0" borderId="27" xfId="2" applyNumberFormat="1" applyFont="1" applyBorder="1"/>
    <xf numFmtId="169" fontId="1" fillId="9" borderId="1" xfId="2" applyNumberFormat="1" applyFont="1" applyFill="1" applyBorder="1"/>
    <xf numFmtId="169" fontId="11" fillId="4" borderId="29" xfId="2" applyNumberFormat="1" applyFont="1" applyFill="1" applyBorder="1"/>
    <xf numFmtId="169" fontId="11" fillId="0" borderId="28" xfId="2" applyNumberFormat="1" applyFont="1" applyBorder="1"/>
    <xf numFmtId="169" fontId="11" fillId="0" borderId="0" xfId="2" applyNumberFormat="1" applyFont="1"/>
    <xf numFmtId="169" fontId="10" fillId="0" borderId="28" xfId="2" applyNumberFormat="1" applyFont="1" applyBorder="1"/>
    <xf numFmtId="169" fontId="10" fillId="0" borderId="0" xfId="2" applyNumberFormat="1" applyFont="1"/>
    <xf numFmtId="169" fontId="10" fillId="0" borderId="30" xfId="2" applyNumberFormat="1" applyFont="1" applyBorder="1"/>
    <xf numFmtId="3" fontId="1" fillId="9" borderId="1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9" fontId="0" fillId="0" borderId="0" xfId="2" applyNumberFormat="1" applyFont="1" applyAlignment="1">
      <alignment horizontal="center" vertical="top" wrapText="1"/>
    </xf>
    <xf numFmtId="169" fontId="7" fillId="0" borderId="0" xfId="2" applyNumberFormat="1" applyFont="1" applyAlignment="1">
      <alignment horizontal="center" vertical="top" wrapText="1"/>
    </xf>
    <xf numFmtId="3" fontId="0" fillId="4" borderId="0" xfId="0" applyNumberFormat="1" applyFill="1" applyAlignment="1">
      <alignment horizontal="center" vertical="top" wrapText="1"/>
    </xf>
    <xf numFmtId="3" fontId="1" fillId="4" borderId="0" xfId="0" applyNumberFormat="1" applyFont="1" applyFill="1" applyAlignment="1">
      <alignment horizontal="center" vertical="top" wrapText="1"/>
    </xf>
    <xf numFmtId="3" fontId="1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169" fontId="11" fillId="0" borderId="27" xfId="2" applyNumberFormat="1" applyFont="1" applyBorder="1"/>
    <xf numFmtId="0" fontId="0" fillId="3" borderId="0" xfId="0" applyFill="1"/>
    <xf numFmtId="0" fontId="0" fillId="6" borderId="0" xfId="0" applyFill="1"/>
    <xf numFmtId="3" fontId="0" fillId="7" borderId="0" xfId="0" applyNumberFormat="1" applyFill="1"/>
    <xf numFmtId="0" fontId="0" fillId="8" borderId="0" xfId="0" applyFill="1"/>
    <xf numFmtId="3" fontId="0" fillId="8" borderId="0" xfId="0" applyNumberFormat="1" applyFill="1"/>
    <xf numFmtId="3" fontId="7" fillId="4" borderId="0" xfId="0" applyNumberFormat="1" applyFont="1" applyFill="1" applyAlignment="1">
      <alignment horizontal="center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0" borderId="11" xfId="0" applyBorder="1" applyAlignment="1">
      <alignment wrapText="1"/>
    </xf>
    <xf numFmtId="3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11" xfId="0" applyFill="1" applyBorder="1" applyAlignment="1">
      <alignment wrapText="1"/>
    </xf>
    <xf numFmtId="0" fontId="0" fillId="4" borderId="0" xfId="0" applyFill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12</xdr:row>
      <xdr:rowOff>21981</xdr:rowOff>
    </xdr:from>
    <xdr:to>
      <xdr:col>9</xdr:col>
      <xdr:colOff>7327</xdr:colOff>
      <xdr:row>15</xdr:row>
      <xdr:rowOff>0</xdr:rowOff>
    </xdr:to>
    <xdr:cxnSp macro="">
      <xdr:nvCxnSpPr>
        <xdr:cNvPr id="2" name="Ra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5705475" y="2508006"/>
          <a:ext cx="1064602" cy="578094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/Documents/Eva/Eva/St&#246;ren/Resultat%20och%20Balansr&#228;kning%202013%20&#197;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_Bal"/>
      <sheetName val="Noter"/>
    </sheetNames>
    <sheetDataSet>
      <sheetData sheetId="0"/>
      <sheetData sheetId="1">
        <row r="20">
          <cell r="F20">
            <v>1542051</v>
          </cell>
        </row>
        <row r="26">
          <cell r="F26">
            <v>21283</v>
          </cell>
        </row>
        <row r="29">
          <cell r="F29">
            <v>11675</v>
          </cell>
        </row>
        <row r="33">
          <cell r="F33">
            <v>22201</v>
          </cell>
        </row>
        <row r="37">
          <cell r="F37">
            <v>9884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"/>
  <sheetViews>
    <sheetView topLeftCell="A23" zoomScaleNormal="100" workbookViewId="0">
      <selection activeCell="A37" sqref="A37"/>
    </sheetView>
  </sheetViews>
  <sheetFormatPr defaultColWidth="9.140625" defaultRowHeight="15.75" x14ac:dyDescent="0.25"/>
  <cols>
    <col min="1" max="1" width="36.42578125" style="2" customWidth="1"/>
    <col min="2" max="2" width="13.7109375" style="131" customWidth="1"/>
    <col min="3" max="3" width="3.5703125" style="131" customWidth="1"/>
    <col min="4" max="4" width="13.7109375" style="131" customWidth="1"/>
    <col min="5" max="5" width="3.7109375" style="131" customWidth="1"/>
    <col min="6" max="6" width="13.7109375" style="131" customWidth="1"/>
    <col min="7" max="7" width="4.7109375" style="35" customWidth="1"/>
    <col min="8" max="8" width="13.7109375" style="35" customWidth="1"/>
    <col min="9" max="9" width="4.7109375" style="35" customWidth="1"/>
    <col min="10" max="10" width="13.85546875" style="35" customWidth="1"/>
    <col min="11" max="11" width="4.140625" style="2" customWidth="1"/>
    <col min="12" max="12" width="13.5703125" style="35" hidden="1" customWidth="1"/>
    <col min="13" max="13" width="8.85546875" style="2" hidden="1" customWidth="1"/>
    <col min="14" max="14" width="16" style="35" hidden="1" customWidth="1"/>
    <col min="15" max="15" width="6" style="2" hidden="1" customWidth="1"/>
    <col min="16" max="16" width="16" style="35" hidden="1" customWidth="1"/>
    <col min="17" max="17" width="8.28515625" style="27" hidden="1" customWidth="1"/>
    <col min="18" max="18" width="15" style="2" hidden="1" customWidth="1"/>
    <col min="19" max="19" width="1.5703125" style="2" hidden="1" customWidth="1"/>
    <col min="20" max="20" width="34.28515625" style="2" hidden="1" customWidth="1"/>
    <col min="21" max="21" width="36.28515625" style="2" customWidth="1"/>
    <col min="22" max="22" width="9.28515625" style="2" customWidth="1"/>
    <col min="23" max="24" width="13.7109375" style="155" customWidth="1"/>
    <col min="25" max="25" width="3.7109375" style="155" customWidth="1"/>
    <col min="26" max="26" width="13.7109375" style="155" customWidth="1"/>
    <col min="27" max="27" width="2.5703125" style="4" customWidth="1"/>
    <col min="28" max="28" width="13.7109375" style="4" customWidth="1"/>
    <col min="29" max="29" width="2.5703125" style="4" customWidth="1"/>
    <col min="30" max="30" width="13.28515625" style="4" customWidth="1"/>
    <col min="31" max="31" width="10.85546875" style="2" hidden="1" customWidth="1"/>
    <col min="32" max="32" width="11.7109375" style="4" hidden="1" customWidth="1"/>
    <col min="33" max="33" width="2.7109375" style="2" hidden="1" customWidth="1"/>
    <col min="34" max="34" width="14" style="4" hidden="1" customWidth="1"/>
    <col min="35" max="35" width="12.28515625" style="2" hidden="1" customWidth="1"/>
    <col min="36" max="36" width="15.85546875" style="4" hidden="1" customWidth="1"/>
    <col min="37" max="37" width="13.28515625" style="4" hidden="1" customWidth="1"/>
    <col min="38" max="38" width="15.85546875" style="2" hidden="1" customWidth="1"/>
    <col min="39" max="39" width="2" style="2" hidden="1" customWidth="1"/>
    <col min="40" max="40" width="8.85546875" style="2" customWidth="1"/>
    <col min="41" max="42" width="9.140625" style="2"/>
    <col min="43" max="43" width="13.85546875" style="2" customWidth="1"/>
    <col min="44" max="16384" width="9.140625" style="2"/>
  </cols>
  <sheetData>
    <row r="1" spans="1:49" ht="21" x14ac:dyDescent="0.35">
      <c r="A1" s="1" t="s">
        <v>0</v>
      </c>
      <c r="B1" s="133"/>
      <c r="C1" s="133"/>
      <c r="D1" s="133"/>
      <c r="E1" s="133"/>
      <c r="F1" s="133"/>
      <c r="G1" s="32"/>
      <c r="H1" s="32"/>
      <c r="I1" s="32"/>
      <c r="J1" s="32"/>
      <c r="K1" s="1"/>
      <c r="L1" s="32"/>
      <c r="M1" s="1"/>
      <c r="N1" s="32"/>
      <c r="O1" s="1"/>
      <c r="P1" s="32"/>
      <c r="U1" s="1" t="s">
        <v>1</v>
      </c>
      <c r="V1" s="1"/>
      <c r="W1" s="162"/>
      <c r="X1" s="162"/>
      <c r="Y1" s="162"/>
      <c r="Z1" s="162"/>
      <c r="AA1" s="18"/>
      <c r="AB1" s="18"/>
      <c r="AC1" s="18"/>
      <c r="AD1" s="18"/>
      <c r="AE1" s="1"/>
      <c r="AF1" s="18"/>
      <c r="AG1" s="1"/>
      <c r="AH1" s="18"/>
      <c r="AI1" s="1"/>
      <c r="AJ1" s="18"/>
      <c r="AK1" s="18"/>
    </row>
    <row r="2" spans="1:49" ht="18.75" x14ac:dyDescent="0.3">
      <c r="A2" s="3" t="s">
        <v>151</v>
      </c>
      <c r="K2" s="3"/>
      <c r="M2" s="3"/>
      <c r="O2" s="3"/>
      <c r="U2" s="3" t="s">
        <v>151</v>
      </c>
      <c r="V2" s="3"/>
      <c r="AE2" s="3"/>
      <c r="AG2" s="3"/>
      <c r="AI2" s="3"/>
    </row>
    <row r="3" spans="1:49" x14ac:dyDescent="0.25">
      <c r="A3" s="4" t="s">
        <v>150</v>
      </c>
      <c r="K3" s="4"/>
      <c r="M3" s="4"/>
      <c r="O3" s="4"/>
      <c r="U3" s="4" t="s">
        <v>150</v>
      </c>
      <c r="V3" s="4"/>
      <c r="AE3" s="4"/>
      <c r="AG3" s="4"/>
      <c r="AI3" s="4"/>
    </row>
    <row r="4" spans="1:49" x14ac:dyDescent="0.25">
      <c r="A4" s="4" t="s">
        <v>231</v>
      </c>
      <c r="K4" s="4"/>
      <c r="M4" s="4"/>
      <c r="O4" s="4"/>
      <c r="U4" s="5" t="s">
        <v>232</v>
      </c>
      <c r="V4" s="5"/>
      <c r="W4" s="163"/>
      <c r="X4" s="163"/>
      <c r="Y4" s="163"/>
      <c r="Z4" s="163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49" x14ac:dyDescent="0.25">
      <c r="U5" s="6"/>
      <c r="V5" s="6"/>
      <c r="W5" s="164"/>
      <c r="X5" s="164"/>
      <c r="Y5" s="164"/>
      <c r="Z5" s="164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49" ht="18.75" x14ac:dyDescent="0.3">
      <c r="A6" s="7" t="s">
        <v>6</v>
      </c>
      <c r="B6" s="133"/>
      <c r="C6" s="133"/>
      <c r="D6" s="133"/>
      <c r="E6" s="133"/>
      <c r="F6" s="133"/>
      <c r="G6" s="32"/>
      <c r="H6" s="32"/>
      <c r="I6" s="32"/>
      <c r="J6" s="32"/>
      <c r="K6" s="7"/>
      <c r="L6" s="32"/>
      <c r="M6" s="7"/>
      <c r="N6" s="32"/>
      <c r="O6" s="7"/>
      <c r="P6" s="32"/>
      <c r="U6" s="7" t="s">
        <v>7</v>
      </c>
      <c r="V6" s="7"/>
      <c r="W6" s="162"/>
      <c r="X6" s="162"/>
      <c r="Y6" s="162"/>
      <c r="Z6" s="162"/>
      <c r="AA6" s="18"/>
      <c r="AB6" s="18"/>
      <c r="AC6" s="18"/>
      <c r="AD6" s="18"/>
      <c r="AE6" s="7"/>
      <c r="AF6" s="18"/>
      <c r="AG6" s="7"/>
      <c r="AH6" s="18"/>
      <c r="AI6" s="7"/>
      <c r="AJ6" s="18"/>
      <c r="AK6" s="18"/>
      <c r="AM6" s="8"/>
    </row>
    <row r="7" spans="1:49" ht="18.75" x14ac:dyDescent="0.3">
      <c r="A7" s="9" t="s">
        <v>8</v>
      </c>
      <c r="B7" s="126" t="s">
        <v>226</v>
      </c>
      <c r="C7" s="126"/>
      <c r="D7" s="126" t="s">
        <v>221</v>
      </c>
      <c r="E7" s="126"/>
      <c r="F7" s="126" t="s">
        <v>207</v>
      </c>
      <c r="G7" s="10"/>
      <c r="H7" s="10" t="s">
        <v>184</v>
      </c>
      <c r="I7" s="10"/>
      <c r="J7" s="10" t="s">
        <v>177</v>
      </c>
      <c r="K7" s="9"/>
      <c r="L7" s="10" t="s">
        <v>148</v>
      </c>
      <c r="M7" s="9"/>
      <c r="N7" s="10" t="s">
        <v>141</v>
      </c>
      <c r="O7" s="9"/>
      <c r="P7" s="10" t="s">
        <v>133</v>
      </c>
      <c r="Q7" s="10"/>
      <c r="R7" s="10" t="s">
        <v>119</v>
      </c>
      <c r="S7" s="32"/>
      <c r="U7" s="11" t="s">
        <v>10</v>
      </c>
      <c r="V7" s="11"/>
      <c r="W7" s="175" t="s">
        <v>227</v>
      </c>
      <c r="X7" s="175" t="s">
        <v>222</v>
      </c>
      <c r="Y7" s="175"/>
      <c r="Z7" s="175" t="s">
        <v>208</v>
      </c>
      <c r="AA7" s="102"/>
      <c r="AB7" s="102" t="s">
        <v>181</v>
      </c>
      <c r="AC7" s="102"/>
      <c r="AD7" s="102" t="s">
        <v>178</v>
      </c>
      <c r="AE7" s="11"/>
      <c r="AF7" s="102" t="s">
        <v>149</v>
      </c>
      <c r="AG7" s="11"/>
      <c r="AH7" s="102" t="s">
        <v>144</v>
      </c>
      <c r="AI7" s="11"/>
      <c r="AJ7" s="102" t="s">
        <v>145</v>
      </c>
      <c r="AK7" s="26"/>
      <c r="AL7" s="26" t="s">
        <v>120</v>
      </c>
      <c r="AM7" s="13"/>
      <c r="AN7" s="14"/>
    </row>
    <row r="8" spans="1:49" s="14" customFormat="1" x14ac:dyDescent="0.25">
      <c r="A8" s="2" t="s">
        <v>11</v>
      </c>
      <c r="B8" s="104">
        <v>139020</v>
      </c>
      <c r="C8" s="104"/>
      <c r="D8" s="104">
        <v>139020</v>
      </c>
      <c r="E8" s="104"/>
      <c r="F8" s="104">
        <v>139020</v>
      </c>
      <c r="G8" s="35"/>
      <c r="H8" s="35">
        <v>139020</v>
      </c>
      <c r="I8" s="35"/>
      <c r="J8" s="35">
        <v>139020</v>
      </c>
      <c r="K8" s="2"/>
      <c r="L8" s="35">
        <v>139020</v>
      </c>
      <c r="M8" s="2"/>
      <c r="N8" s="35">
        <v>139020</v>
      </c>
      <c r="O8" s="2"/>
      <c r="P8" s="35">
        <v>139020</v>
      </c>
      <c r="Q8" s="28"/>
      <c r="R8" s="35">
        <v>139020</v>
      </c>
      <c r="S8" s="4"/>
      <c r="T8" s="2"/>
      <c r="U8" s="2" t="s">
        <v>12</v>
      </c>
      <c r="V8" s="2" t="s">
        <v>66</v>
      </c>
      <c r="W8" s="106">
        <f>8964890-583029-60418-60418-60418-60418-60418</f>
        <v>8079771</v>
      </c>
      <c r="X8" s="106">
        <f>8964890-583029-60418-60418-60418-60418</f>
        <v>8140189</v>
      </c>
      <c r="Y8" s="106"/>
      <c r="Z8" s="106">
        <f>8964890-583029-60418-60418-60418</f>
        <v>8200607</v>
      </c>
      <c r="AA8" s="106"/>
      <c r="AB8" s="106">
        <f>8964890-583029-60418-60418</f>
        <v>8261025</v>
      </c>
      <c r="AC8" s="106"/>
      <c r="AD8" s="106">
        <f>8964890-583029-60418</f>
        <v>8321443</v>
      </c>
      <c r="AE8" s="2"/>
      <c r="AF8" s="106">
        <f>8964890-583029</f>
        <v>8381861</v>
      </c>
      <c r="AG8" s="2"/>
      <c r="AH8" s="4">
        <f>8964890-522611</f>
        <v>8442279</v>
      </c>
      <c r="AI8" s="2"/>
      <c r="AJ8" s="4">
        <f>8964890-462193</f>
        <v>8502697</v>
      </c>
      <c r="AK8" s="4"/>
      <c r="AL8" s="4">
        <v>8563115</v>
      </c>
      <c r="AM8" s="4"/>
      <c r="AN8" s="2"/>
    </row>
    <row r="9" spans="1:49" s="14" customFormat="1" x14ac:dyDescent="0.25">
      <c r="A9" s="2" t="s">
        <v>238</v>
      </c>
      <c r="B9" s="104">
        <v>3890</v>
      </c>
      <c r="C9" s="104"/>
      <c r="D9" s="104"/>
      <c r="E9" s="104"/>
      <c r="F9" s="104"/>
      <c r="G9" s="35"/>
      <c r="H9" s="35"/>
      <c r="I9" s="35"/>
      <c r="J9" s="35"/>
      <c r="K9" s="2"/>
      <c r="L9" s="35"/>
      <c r="M9" s="2"/>
      <c r="N9" s="35"/>
      <c r="O9" s="2"/>
      <c r="P9" s="35"/>
      <c r="Q9" s="28"/>
      <c r="R9" s="35"/>
      <c r="S9" s="4"/>
      <c r="T9" s="2"/>
      <c r="U9" s="2"/>
      <c r="V9" s="2"/>
      <c r="W9" s="106"/>
      <c r="X9" s="106"/>
      <c r="Y9" s="106"/>
      <c r="Z9" s="106"/>
      <c r="AA9" s="106"/>
      <c r="AB9" s="106"/>
      <c r="AC9" s="106"/>
      <c r="AD9" s="106"/>
      <c r="AE9" s="2"/>
      <c r="AF9" s="106"/>
      <c r="AG9" s="2"/>
      <c r="AH9" s="4"/>
      <c r="AI9" s="2"/>
      <c r="AJ9" s="4"/>
      <c r="AK9" s="4"/>
      <c r="AL9" s="4"/>
      <c r="AM9" s="4"/>
      <c r="AN9" s="2"/>
    </row>
    <row r="10" spans="1:49" s="14" customFormat="1" ht="16.5" thickBot="1" x14ac:dyDescent="0.3">
      <c r="A10" s="16" t="s">
        <v>15</v>
      </c>
      <c r="B10" s="123">
        <f>SUM(B8:B9)</f>
        <v>142910</v>
      </c>
      <c r="C10" s="123"/>
      <c r="D10" s="123">
        <v>139020</v>
      </c>
      <c r="E10" s="123"/>
      <c r="F10" s="123">
        <v>139020</v>
      </c>
      <c r="G10" s="33"/>
      <c r="H10" s="33">
        <v>139020</v>
      </c>
      <c r="I10" s="33"/>
      <c r="J10" s="33">
        <v>139020</v>
      </c>
      <c r="K10" s="16"/>
      <c r="L10" s="33">
        <v>139020</v>
      </c>
      <c r="M10" s="16"/>
      <c r="N10" s="33">
        <v>139020</v>
      </c>
      <c r="O10" s="16"/>
      <c r="P10" s="33">
        <v>139020</v>
      </c>
      <c r="Q10" s="29"/>
      <c r="R10" s="16">
        <v>139020</v>
      </c>
      <c r="S10" s="4"/>
      <c r="T10" s="2"/>
      <c r="U10" s="2" t="s">
        <v>14</v>
      </c>
      <c r="V10" s="2" t="s">
        <v>88</v>
      </c>
      <c r="W10" s="106">
        <v>1542051</v>
      </c>
      <c r="X10" s="106">
        <v>1542051</v>
      </c>
      <c r="Y10" s="106"/>
      <c r="Z10" s="106">
        <v>1542051</v>
      </c>
      <c r="AA10" s="4"/>
      <c r="AB10" s="4">
        <v>1542051</v>
      </c>
      <c r="AC10" s="4"/>
      <c r="AD10" s="4">
        <v>1542051</v>
      </c>
      <c r="AE10" s="2"/>
      <c r="AF10" s="4">
        <v>1542051</v>
      </c>
      <c r="AG10" s="2"/>
      <c r="AH10" s="4">
        <v>1542051</v>
      </c>
      <c r="AI10" s="2"/>
      <c r="AJ10" s="4">
        <v>1542051</v>
      </c>
      <c r="AK10" s="4"/>
      <c r="AL10" s="4">
        <v>1542051</v>
      </c>
      <c r="AM10" s="15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14" customFormat="1" ht="17.25" thickTop="1" thickBot="1" x14ac:dyDescent="0.3">
      <c r="A11" s="16"/>
      <c r="B11" s="123"/>
      <c r="C11" s="123"/>
      <c r="D11" s="123"/>
      <c r="E11" s="123"/>
      <c r="F11" s="123"/>
      <c r="G11" s="33"/>
      <c r="H11" s="33"/>
      <c r="I11" s="33"/>
      <c r="J11" s="33"/>
      <c r="K11" s="16"/>
      <c r="L11" s="33"/>
      <c r="M11" s="16"/>
      <c r="N11" s="33"/>
      <c r="O11" s="16"/>
      <c r="P11" s="33"/>
      <c r="Q11" s="29"/>
      <c r="R11" s="16"/>
      <c r="S11" s="4"/>
      <c r="T11" s="2"/>
      <c r="U11" s="2" t="s">
        <v>185</v>
      </c>
      <c r="V11" s="2" t="s">
        <v>94</v>
      </c>
      <c r="W11" s="107">
        <f>75118.3-13842.07-13842.07</f>
        <v>47434.16</v>
      </c>
      <c r="X11" s="107">
        <f>75118.3-13842.07</f>
        <v>61276.23</v>
      </c>
      <c r="Y11" s="107"/>
      <c r="Z11" s="107">
        <v>75118.12</v>
      </c>
      <c r="AA11" s="15"/>
      <c r="AB11" s="15">
        <f>49375-4937.5</f>
        <v>44437.5</v>
      </c>
      <c r="AC11" s="15"/>
      <c r="AD11" s="15"/>
      <c r="AE11" s="2"/>
      <c r="AF11" s="15"/>
      <c r="AG11" s="2"/>
      <c r="AH11" s="15"/>
      <c r="AI11" s="2"/>
      <c r="AJ11" s="15"/>
      <c r="AK11" s="4"/>
      <c r="AL11" s="15"/>
      <c r="AM11" s="4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1:49" ht="16.5" thickTop="1" x14ac:dyDescent="0.25">
      <c r="A12" s="23"/>
      <c r="B12" s="124"/>
      <c r="C12" s="124"/>
      <c r="D12" s="124"/>
      <c r="E12" s="124"/>
      <c r="F12" s="124"/>
      <c r="G12" s="36"/>
      <c r="H12" s="36"/>
      <c r="I12" s="36"/>
      <c r="J12" s="36"/>
      <c r="K12" s="23"/>
      <c r="L12" s="36"/>
      <c r="M12" s="23"/>
      <c r="N12" s="36"/>
      <c r="O12" s="23"/>
      <c r="P12" s="36"/>
      <c r="Q12" s="30"/>
      <c r="R12" s="23"/>
      <c r="S12" s="18"/>
      <c r="U12" s="17" t="s">
        <v>16</v>
      </c>
      <c r="V12" s="17"/>
      <c r="W12" s="128">
        <f>W8+W10+W11</f>
        <v>9669256.1600000001</v>
      </c>
      <c r="X12" s="128">
        <f>X8+X10+X11</f>
        <v>9743516.2300000004</v>
      </c>
      <c r="Y12" s="128"/>
      <c r="Z12" s="128">
        <f>Z8+Z10+Z11</f>
        <v>9817776.1199999992</v>
      </c>
      <c r="AA12" s="16"/>
      <c r="AB12" s="16">
        <f>AB8+AB10+AB11</f>
        <v>9847513.5</v>
      </c>
      <c r="AC12" s="16"/>
      <c r="AD12" s="16">
        <f>AD8+AD10</f>
        <v>9863494</v>
      </c>
      <c r="AE12" s="17"/>
      <c r="AF12" s="16">
        <f>AF8+AF10</f>
        <v>9923912</v>
      </c>
      <c r="AG12" s="17"/>
      <c r="AH12" s="16">
        <f>AH8+AH10</f>
        <v>9984330</v>
      </c>
      <c r="AI12" s="17"/>
      <c r="AJ12" s="16">
        <f>AJ8+AJ10</f>
        <v>10044748</v>
      </c>
      <c r="AK12" s="16"/>
      <c r="AL12" s="16">
        <v>10105166</v>
      </c>
      <c r="AM12" s="16"/>
    </row>
    <row r="13" spans="1:49" s="25" customFormat="1" x14ac:dyDescent="0.25">
      <c r="A13" s="18"/>
      <c r="B13" s="127"/>
      <c r="C13" s="127"/>
      <c r="D13" s="127"/>
      <c r="E13" s="127"/>
      <c r="F13" s="127"/>
      <c r="G13" s="32"/>
      <c r="H13" s="32"/>
      <c r="I13" s="32"/>
      <c r="J13" s="32"/>
      <c r="K13" s="18"/>
      <c r="L13" s="32"/>
      <c r="M13" s="18"/>
      <c r="N13" s="32"/>
      <c r="O13" s="18"/>
      <c r="P13" s="32"/>
      <c r="Q13" s="31"/>
      <c r="R13" s="18"/>
      <c r="S13" s="18"/>
      <c r="U13" s="24"/>
      <c r="V13" s="24"/>
      <c r="W13" s="185"/>
      <c r="X13" s="185"/>
      <c r="Y13" s="185"/>
      <c r="Z13" s="185"/>
      <c r="AA13" s="23"/>
      <c r="AB13" s="23"/>
      <c r="AC13" s="23"/>
      <c r="AD13" s="23"/>
      <c r="AE13" s="24"/>
      <c r="AF13" s="23"/>
      <c r="AG13" s="24"/>
      <c r="AH13" s="23"/>
      <c r="AI13" s="24"/>
      <c r="AJ13" s="23"/>
      <c r="AK13" s="23"/>
      <c r="AL13" s="23"/>
      <c r="AM13" s="23"/>
    </row>
    <row r="14" spans="1:49" ht="18.75" x14ac:dyDescent="0.3">
      <c r="A14" s="7" t="s">
        <v>17</v>
      </c>
      <c r="B14" s="127"/>
      <c r="C14" s="127"/>
      <c r="D14" s="127"/>
      <c r="E14" s="127"/>
      <c r="F14" s="127"/>
      <c r="G14" s="32"/>
      <c r="H14" s="32"/>
      <c r="I14" s="32"/>
      <c r="J14" s="32"/>
      <c r="K14" s="7"/>
      <c r="L14" s="32"/>
      <c r="M14" s="7"/>
      <c r="N14" s="32"/>
      <c r="O14" s="7"/>
      <c r="P14" s="32"/>
      <c r="R14" s="4"/>
      <c r="S14" s="18"/>
      <c r="U14" s="11" t="s">
        <v>19</v>
      </c>
      <c r="V14" s="11"/>
      <c r="W14" s="172"/>
      <c r="X14" s="172"/>
      <c r="Y14" s="172"/>
      <c r="Z14" s="172"/>
      <c r="AA14" s="9"/>
      <c r="AB14" s="9"/>
      <c r="AC14" s="9"/>
      <c r="AD14" s="9"/>
      <c r="AE14" s="11"/>
      <c r="AF14" s="9"/>
      <c r="AG14" s="11"/>
      <c r="AH14" s="9"/>
      <c r="AI14" s="11"/>
      <c r="AJ14" s="9"/>
      <c r="AK14" s="9"/>
      <c r="AL14" s="13"/>
      <c r="AM14" s="13"/>
    </row>
    <row r="15" spans="1:49" s="14" customFormat="1" x14ac:dyDescent="0.25">
      <c r="A15" s="9" t="s">
        <v>18</v>
      </c>
      <c r="B15" s="126"/>
      <c r="C15" s="126"/>
      <c r="D15" s="126"/>
      <c r="E15" s="126"/>
      <c r="F15" s="126"/>
      <c r="G15" s="10"/>
      <c r="H15" s="10"/>
      <c r="I15" s="10"/>
      <c r="J15" s="10"/>
      <c r="K15" s="9"/>
      <c r="L15" s="10"/>
      <c r="M15" s="9"/>
      <c r="N15" s="10"/>
      <c r="O15" s="9"/>
      <c r="P15" s="10"/>
      <c r="Q15" s="10"/>
      <c r="R15" s="13"/>
      <c r="S15" s="4"/>
      <c r="T15" s="2"/>
      <c r="U15" s="2" t="s">
        <v>247</v>
      </c>
      <c r="V15" s="2"/>
      <c r="W15" s="106">
        <v>26515.59</v>
      </c>
      <c r="X15" s="106">
        <v>50686.29</v>
      </c>
      <c r="Y15" s="106"/>
      <c r="Z15" s="106">
        <v>30858.1</v>
      </c>
      <c r="AA15" s="106"/>
      <c r="AB15" s="106">
        <v>92465.97</v>
      </c>
      <c r="AC15" s="106"/>
      <c r="AD15" s="106">
        <v>105285.97</v>
      </c>
      <c r="AE15" s="2"/>
      <c r="AF15" s="106">
        <f>57039+7213.47</f>
        <v>64252.47</v>
      </c>
      <c r="AG15" s="2"/>
      <c r="AH15" s="4">
        <v>30802</v>
      </c>
      <c r="AI15" s="2"/>
      <c r="AJ15" s="4">
        <v>82857</v>
      </c>
      <c r="AK15" s="4"/>
      <c r="AL15" s="4">
        <v>28090</v>
      </c>
      <c r="AM15" s="4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s="14" customFormat="1" x14ac:dyDescent="0.25">
      <c r="A16" s="2" t="s">
        <v>24</v>
      </c>
      <c r="B16" s="104">
        <v>-6561</v>
      </c>
      <c r="C16" s="104"/>
      <c r="D16" s="104">
        <f>-7725</f>
        <v>-7725</v>
      </c>
      <c r="E16" s="104"/>
      <c r="F16" s="104">
        <f>-27291-4477</f>
        <v>-31768</v>
      </c>
      <c r="G16" s="104"/>
      <c r="H16" s="104">
        <f>-5614-700</f>
        <v>-6314</v>
      </c>
      <c r="I16" s="104"/>
      <c r="J16" s="104">
        <f>-2120-1219-2003</f>
        <v>-5342</v>
      </c>
      <c r="K16" s="2"/>
      <c r="L16" s="104">
        <f>-2069-5983-3000-1025.03</f>
        <v>-12077.03</v>
      </c>
      <c r="M16" s="2"/>
      <c r="N16" s="35">
        <f>-55525-19208-3662-600</f>
        <v>-78995</v>
      </c>
      <c r="O16" s="2"/>
      <c r="P16" s="35">
        <v>-3106</v>
      </c>
      <c r="Q16" s="28"/>
      <c r="R16" s="35">
        <v>-26444</v>
      </c>
      <c r="S16" s="4"/>
      <c r="T16" s="2"/>
      <c r="U16" s="2" t="s">
        <v>248</v>
      </c>
      <c r="V16" s="2"/>
      <c r="W16" s="106">
        <v>70148.320000000007</v>
      </c>
      <c r="X16" s="106">
        <v>0</v>
      </c>
      <c r="Y16" s="106"/>
      <c r="Z16" s="106">
        <v>0</v>
      </c>
      <c r="AA16" s="4"/>
      <c r="AB16" s="4">
        <v>0</v>
      </c>
      <c r="AC16" s="4"/>
      <c r="AD16" s="4">
        <v>0</v>
      </c>
      <c r="AE16" s="2"/>
      <c r="AF16" s="4">
        <v>0</v>
      </c>
      <c r="AG16" s="2"/>
      <c r="AH16" s="4">
        <v>0</v>
      </c>
      <c r="AI16" s="2"/>
      <c r="AJ16" s="4">
        <v>0</v>
      </c>
      <c r="AK16" s="4"/>
      <c r="AL16" s="4">
        <v>0</v>
      </c>
      <c r="AM16" s="4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52" s="14" customFormat="1" x14ac:dyDescent="0.25">
      <c r="A17" s="2" t="s">
        <v>26</v>
      </c>
      <c r="B17" s="104">
        <v>-19642</v>
      </c>
      <c r="C17" s="104"/>
      <c r="D17" s="104">
        <v>-15133</v>
      </c>
      <c r="E17" s="104"/>
      <c r="F17" s="104">
        <v>-15792</v>
      </c>
      <c r="G17" s="104"/>
      <c r="H17" s="104">
        <v>-13707</v>
      </c>
      <c r="I17" s="104"/>
      <c r="J17" s="104">
        <v>-12619</v>
      </c>
      <c r="K17" s="2"/>
      <c r="L17" s="104">
        <v>-12669</v>
      </c>
      <c r="M17" s="2"/>
      <c r="N17" s="35">
        <v>-9750</v>
      </c>
      <c r="O17" s="2"/>
      <c r="P17" s="35">
        <v>-9182</v>
      </c>
      <c r="Q17" s="28"/>
      <c r="R17" s="35">
        <v>-10002</v>
      </c>
      <c r="S17" s="4"/>
      <c r="T17" s="2"/>
      <c r="U17" s="17" t="s">
        <v>25</v>
      </c>
      <c r="V17" s="17"/>
      <c r="W17" s="128">
        <f>W15+W16</f>
        <v>96663.91</v>
      </c>
      <c r="X17" s="128">
        <f>X15+X16</f>
        <v>50686.29</v>
      </c>
      <c r="Y17" s="128"/>
      <c r="Z17" s="128">
        <f>Z15+Z16</f>
        <v>30858.1</v>
      </c>
      <c r="AA17" s="16"/>
      <c r="AB17" s="16">
        <f>AB15+AB16</f>
        <v>92465.97</v>
      </c>
      <c r="AC17" s="16"/>
      <c r="AD17" s="16">
        <f>AD15+AD16</f>
        <v>105285.97</v>
      </c>
      <c r="AE17" s="17"/>
      <c r="AF17" s="16">
        <f>AF15+AF16</f>
        <v>64252.47</v>
      </c>
      <c r="AG17" s="17"/>
      <c r="AH17" s="16">
        <f>AH15+AH16</f>
        <v>30802</v>
      </c>
      <c r="AI17" s="17"/>
      <c r="AJ17" s="16">
        <f>AJ15+AJ16</f>
        <v>82857</v>
      </c>
      <c r="AK17" s="16"/>
      <c r="AL17" s="16">
        <v>28090</v>
      </c>
      <c r="AM17" s="16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1:52" s="14" customFormat="1" x14ac:dyDescent="0.25">
      <c r="A18" s="2" t="s">
        <v>27</v>
      </c>
      <c r="B18" s="104">
        <v>-11913</v>
      </c>
      <c r="C18" s="104"/>
      <c r="D18" s="104">
        <v>-11920</v>
      </c>
      <c r="E18" s="104"/>
      <c r="F18" s="104">
        <v>-13319</v>
      </c>
      <c r="G18" s="104"/>
      <c r="H18" s="104">
        <f>-8479-1761</f>
        <v>-10240</v>
      </c>
      <c r="I18" s="104"/>
      <c r="J18" s="104">
        <v>-10185</v>
      </c>
      <c r="K18" s="2"/>
      <c r="L18" s="104">
        <v>-10025</v>
      </c>
      <c r="M18" s="2"/>
      <c r="N18" s="35">
        <v>-6979</v>
      </c>
      <c r="O18" s="2"/>
      <c r="P18" s="35">
        <v>-11899</v>
      </c>
      <c r="Q18" s="28"/>
      <c r="R18" s="35">
        <v>-7102</v>
      </c>
      <c r="S18" s="4"/>
      <c r="T18" s="2"/>
      <c r="U18" s="19"/>
      <c r="V18" s="19"/>
      <c r="W18" s="186"/>
      <c r="X18" s="186"/>
      <c r="Y18" s="186"/>
      <c r="Z18" s="186"/>
      <c r="AA18" s="18"/>
      <c r="AB18" s="18"/>
      <c r="AC18" s="18"/>
      <c r="AD18" s="18"/>
      <c r="AE18" s="19"/>
      <c r="AF18" s="18"/>
      <c r="AG18" s="19"/>
      <c r="AH18" s="18"/>
      <c r="AI18" s="19"/>
      <c r="AJ18" s="18"/>
      <c r="AK18" s="18"/>
      <c r="AL18" s="18"/>
      <c r="AM18" s="18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1:52" s="14" customFormat="1" ht="18.75" x14ac:dyDescent="0.3">
      <c r="A19" s="2" t="s">
        <v>29</v>
      </c>
      <c r="B19" s="104">
        <v>-46778</v>
      </c>
      <c r="C19" s="104"/>
      <c r="D19" s="104">
        <v>-47582</v>
      </c>
      <c r="E19" s="104"/>
      <c r="F19" s="104">
        <v>-47870</v>
      </c>
      <c r="G19" s="104"/>
      <c r="H19" s="104">
        <f>-37505-5393</f>
        <v>-42898</v>
      </c>
      <c r="I19" s="104"/>
      <c r="J19" s="104">
        <v>-42135</v>
      </c>
      <c r="K19" s="2"/>
      <c r="L19" s="104">
        <v>-42621</v>
      </c>
      <c r="M19" s="2"/>
      <c r="N19" s="35">
        <v>-41525</v>
      </c>
      <c r="O19" s="2"/>
      <c r="P19" s="35">
        <v>-36224</v>
      </c>
      <c r="Q19" s="28"/>
      <c r="R19" s="35">
        <v>-38929</v>
      </c>
      <c r="S19" s="4"/>
      <c r="T19" s="2"/>
      <c r="U19" s="20" t="s">
        <v>28</v>
      </c>
      <c r="V19" s="20"/>
      <c r="W19" s="128">
        <f>+W12+W17</f>
        <v>9765920.0700000003</v>
      </c>
      <c r="X19" s="128">
        <f>+X12+X17</f>
        <v>9794202.5199999996</v>
      </c>
      <c r="Y19" s="128"/>
      <c r="Z19" s="128">
        <f>+Z12+Z17</f>
        <v>9848634.2199999988</v>
      </c>
      <c r="AA19" s="16"/>
      <c r="AB19" s="16">
        <f>+AB12+AB17</f>
        <v>9939979.4700000007</v>
      </c>
      <c r="AC19" s="16"/>
      <c r="AD19" s="16">
        <f>+AD12+AD17</f>
        <v>9968779.9700000007</v>
      </c>
      <c r="AE19" s="20"/>
      <c r="AF19" s="16">
        <f>+AF12+AF17</f>
        <v>9988164.4700000007</v>
      </c>
      <c r="AG19" s="20"/>
      <c r="AH19" s="16">
        <f>+AH12+AH17</f>
        <v>10015132</v>
      </c>
      <c r="AI19" s="20"/>
      <c r="AJ19" s="16">
        <f>+AJ12+AJ17</f>
        <v>10127605</v>
      </c>
      <c r="AK19" s="16"/>
      <c r="AL19" s="16">
        <v>10133256</v>
      </c>
      <c r="AM19" s="16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1:52" s="14" customFormat="1" ht="18.75" x14ac:dyDescent="0.3">
      <c r="A20" s="2" t="s">
        <v>30</v>
      </c>
      <c r="B20" s="104">
        <v>-11174</v>
      </c>
      <c r="C20" s="104"/>
      <c r="D20" s="104">
        <v>-12315</v>
      </c>
      <c r="E20" s="104"/>
      <c r="F20" s="104">
        <v>-11134</v>
      </c>
      <c r="G20" s="104"/>
      <c r="H20" s="104">
        <v>-9211</v>
      </c>
      <c r="I20" s="104"/>
      <c r="J20" s="104">
        <v>-8335</v>
      </c>
      <c r="K20" s="2"/>
      <c r="L20" s="104">
        <v>-8261.65</v>
      </c>
      <c r="M20" s="2"/>
      <c r="N20" s="35">
        <v>-8322</v>
      </c>
      <c r="O20" s="2"/>
      <c r="P20" s="35">
        <v>-8399</v>
      </c>
      <c r="Q20" s="28"/>
      <c r="R20" s="35">
        <v>-8540</v>
      </c>
      <c r="S20" s="4"/>
      <c r="T20" s="2"/>
      <c r="U20" s="7"/>
      <c r="V20" s="7"/>
      <c r="W20" s="186"/>
      <c r="X20" s="186"/>
      <c r="Y20" s="186"/>
      <c r="Z20" s="186"/>
      <c r="AA20" s="18"/>
      <c r="AB20" s="18"/>
      <c r="AC20" s="18"/>
      <c r="AD20" s="18"/>
      <c r="AE20" s="7"/>
      <c r="AF20" s="18"/>
      <c r="AG20" s="7"/>
      <c r="AH20" s="18"/>
      <c r="AI20" s="7"/>
      <c r="AJ20" s="18"/>
      <c r="AK20" s="18"/>
      <c r="AL20" s="18"/>
      <c r="AM20" s="18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1:52" s="14" customFormat="1" x14ac:dyDescent="0.25">
      <c r="A21" s="2" t="s">
        <v>153</v>
      </c>
      <c r="B21" s="104">
        <v>-8866</v>
      </c>
      <c r="C21" s="104"/>
      <c r="D21" s="104">
        <v>-6877</v>
      </c>
      <c r="E21" s="104"/>
      <c r="F21" s="104">
        <v>-7948</v>
      </c>
      <c r="G21" s="104"/>
      <c r="H21" s="104">
        <v>-6422</v>
      </c>
      <c r="I21" s="104"/>
      <c r="J21" s="104">
        <v>-6844</v>
      </c>
      <c r="K21" s="2"/>
      <c r="L21" s="104">
        <v>-5811</v>
      </c>
      <c r="M21" s="2"/>
      <c r="N21" s="35">
        <v>-6137</v>
      </c>
      <c r="O21" s="2"/>
      <c r="P21" s="35">
        <v>-5683</v>
      </c>
      <c r="Q21" s="28"/>
      <c r="R21" s="35">
        <v>-5427</v>
      </c>
      <c r="S21" s="4"/>
      <c r="T21" s="2"/>
      <c r="W21" s="106"/>
      <c r="X21" s="106"/>
      <c r="Y21" s="106"/>
      <c r="Z21" s="106"/>
      <c r="AA21" s="4"/>
      <c r="AB21" s="4"/>
      <c r="AC21" s="4"/>
      <c r="AD21" s="4"/>
      <c r="AF21" s="4"/>
      <c r="AH21" s="4"/>
      <c r="AJ21" s="4"/>
      <c r="AK21" s="4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1:52" s="14" customFormat="1" x14ac:dyDescent="0.25">
      <c r="A22" s="2" t="s">
        <v>224</v>
      </c>
      <c r="B22" s="104">
        <f>-51.9-800</f>
        <v>-851.9</v>
      </c>
      <c r="C22" s="104"/>
      <c r="D22" s="104">
        <f>-778-800</f>
        <v>-1578</v>
      </c>
      <c r="E22" s="104"/>
      <c r="F22" s="104">
        <v>-148</v>
      </c>
      <c r="G22" s="104"/>
      <c r="H22" s="104">
        <v>-209</v>
      </c>
      <c r="I22" s="104"/>
      <c r="J22" s="104">
        <v>0</v>
      </c>
      <c r="K22" s="2"/>
      <c r="L22" s="104">
        <v>-716.95</v>
      </c>
      <c r="M22" s="2"/>
      <c r="N22" s="35">
        <v>-5307</v>
      </c>
      <c r="O22" s="2"/>
      <c r="P22" s="35">
        <v>-2023</v>
      </c>
      <c r="Q22" s="28"/>
      <c r="R22" s="35">
        <v>-131</v>
      </c>
      <c r="S22" s="4"/>
      <c r="T22" s="2"/>
      <c r="W22" s="106"/>
      <c r="X22" s="106"/>
      <c r="Y22" s="106"/>
      <c r="Z22" s="106"/>
      <c r="AA22" s="4"/>
      <c r="AB22" s="4"/>
      <c r="AC22" s="4"/>
      <c r="AD22" s="4"/>
      <c r="AF22" s="4"/>
      <c r="AH22" s="4"/>
      <c r="AJ22" s="4"/>
      <c r="AK22" s="4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52" s="14" customFormat="1" x14ac:dyDescent="0.25">
      <c r="A23" s="2" t="s">
        <v>33</v>
      </c>
      <c r="B23" s="104">
        <v>-249</v>
      </c>
      <c r="C23" s="104"/>
      <c r="D23" s="104">
        <v>0</v>
      </c>
      <c r="E23" s="104"/>
      <c r="F23" s="104">
        <v>-11828</v>
      </c>
      <c r="G23" s="104"/>
      <c r="H23" s="104">
        <v>0</v>
      </c>
      <c r="I23" s="104"/>
      <c r="J23" s="104">
        <v>0</v>
      </c>
      <c r="K23" s="2"/>
      <c r="L23" s="104">
        <v>0</v>
      </c>
      <c r="M23" s="2"/>
      <c r="N23" s="35">
        <v>-11785</v>
      </c>
      <c r="O23" s="2"/>
      <c r="P23" s="35">
        <f>-1097-648</f>
        <v>-1745</v>
      </c>
      <c r="Q23" s="28"/>
      <c r="R23" s="35">
        <v>-1757</v>
      </c>
      <c r="S23" s="4"/>
      <c r="T23" s="2"/>
      <c r="W23" s="106"/>
      <c r="X23" s="106"/>
      <c r="Y23" s="106"/>
      <c r="Z23" s="106"/>
      <c r="AA23" s="4"/>
      <c r="AB23" s="4"/>
      <c r="AC23" s="4"/>
      <c r="AD23" s="4"/>
      <c r="AF23" s="4"/>
      <c r="AH23" s="4"/>
      <c r="AJ23" s="4"/>
      <c r="AK23" s="4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1:52" s="14" customFormat="1" ht="18.75" x14ac:dyDescent="0.3">
      <c r="A24" s="2" t="s">
        <v>35</v>
      </c>
      <c r="B24" s="104">
        <v>0</v>
      </c>
      <c r="C24" s="104"/>
      <c r="D24" s="104">
        <v>0</v>
      </c>
      <c r="E24" s="104"/>
      <c r="F24" s="104">
        <v>-11181.5</v>
      </c>
      <c r="G24" s="104"/>
      <c r="H24" s="104">
        <v>-1313</v>
      </c>
      <c r="I24" s="104"/>
      <c r="J24" s="104">
        <v>-5520</v>
      </c>
      <c r="K24" s="2"/>
      <c r="L24" s="104">
        <v>-6987</v>
      </c>
      <c r="M24" s="2"/>
      <c r="N24" s="35">
        <v>-6553</v>
      </c>
      <c r="O24" s="2"/>
      <c r="P24" s="35">
        <v>-1453</v>
      </c>
      <c r="Q24" s="28"/>
      <c r="R24" s="35">
        <v>0</v>
      </c>
      <c r="S24" s="4"/>
      <c r="T24" s="2"/>
      <c r="U24" s="7" t="s">
        <v>34</v>
      </c>
      <c r="V24" s="7"/>
      <c r="W24" s="186"/>
      <c r="X24" s="186"/>
      <c r="Y24" s="186"/>
      <c r="Z24" s="186"/>
      <c r="AA24" s="18"/>
      <c r="AB24" s="18"/>
      <c r="AC24" s="18"/>
      <c r="AD24" s="18"/>
      <c r="AE24" s="7"/>
      <c r="AF24" s="18"/>
      <c r="AG24" s="7"/>
      <c r="AH24" s="18"/>
      <c r="AI24" s="7"/>
      <c r="AJ24" s="18"/>
      <c r="AK24" s="18"/>
      <c r="AL24" s="4"/>
      <c r="AM24" s="4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1:52" s="14" customFormat="1" x14ac:dyDescent="0.25">
      <c r="A25" s="2" t="s">
        <v>37</v>
      </c>
      <c r="B25" s="104">
        <v>-1782</v>
      </c>
      <c r="C25" s="104"/>
      <c r="D25" s="104">
        <v>-2376</v>
      </c>
      <c r="E25" s="104"/>
      <c r="F25" s="104">
        <v>-2436</v>
      </c>
      <c r="G25" s="104"/>
      <c r="H25" s="104">
        <v>-2436</v>
      </c>
      <c r="I25" s="104"/>
      <c r="J25" s="104">
        <v>-2400</v>
      </c>
      <c r="K25" s="2"/>
      <c r="L25" s="104">
        <v>-2424</v>
      </c>
      <c r="M25" s="2"/>
      <c r="N25" s="35">
        <v>-2858</v>
      </c>
      <c r="O25" s="2"/>
      <c r="P25" s="35">
        <f>-3200-2252</f>
        <v>-5452</v>
      </c>
      <c r="Q25" s="28"/>
      <c r="R25" s="35">
        <v>-3252</v>
      </c>
      <c r="S25" s="4"/>
      <c r="T25" s="2"/>
      <c r="U25" s="11" t="s">
        <v>36</v>
      </c>
      <c r="V25" s="11"/>
      <c r="W25" s="172"/>
      <c r="X25" s="172"/>
      <c r="Y25" s="172"/>
      <c r="Z25" s="172"/>
      <c r="AA25" s="9"/>
      <c r="AB25" s="9"/>
      <c r="AC25" s="9"/>
      <c r="AD25" s="9"/>
      <c r="AE25" s="11"/>
      <c r="AF25" s="9"/>
      <c r="AG25" s="11"/>
      <c r="AH25" s="9"/>
      <c r="AI25" s="11"/>
      <c r="AJ25" s="9"/>
      <c r="AK25" s="9"/>
      <c r="AL25" s="9"/>
      <c r="AM25" s="13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1:52" s="14" customFormat="1" ht="16.5" thickBot="1" x14ac:dyDescent="0.3">
      <c r="A26" s="2" t="s">
        <v>39</v>
      </c>
      <c r="B26" s="105">
        <v>-1350.8</v>
      </c>
      <c r="C26" s="105"/>
      <c r="D26" s="105">
        <v>-1355</v>
      </c>
      <c r="E26" s="105"/>
      <c r="F26" s="105">
        <v>-1351</v>
      </c>
      <c r="G26" s="105"/>
      <c r="H26" s="105">
        <v>-1111</v>
      </c>
      <c r="I26" s="105"/>
      <c r="J26" s="105">
        <v>-1146.5</v>
      </c>
      <c r="K26" s="2"/>
      <c r="L26" s="105">
        <v>-1148</v>
      </c>
      <c r="M26" s="2"/>
      <c r="N26" s="42">
        <v>-1142</v>
      </c>
      <c r="O26" s="2"/>
      <c r="P26" s="42">
        <v>-914</v>
      </c>
      <c r="Q26" s="28"/>
      <c r="R26" s="42">
        <v>-1165</v>
      </c>
      <c r="S26" s="4"/>
      <c r="T26" s="2"/>
      <c r="U26" s="2" t="s">
        <v>38</v>
      </c>
      <c r="V26" s="2" t="s">
        <v>104</v>
      </c>
      <c r="W26" s="107">
        <f>10080000+23380</f>
        <v>10103380</v>
      </c>
      <c r="X26" s="107">
        <v>10080000</v>
      </c>
      <c r="Y26" s="107"/>
      <c r="Z26" s="107">
        <v>10080000</v>
      </c>
      <c r="AA26" s="15"/>
      <c r="AB26" s="15">
        <v>10080000</v>
      </c>
      <c r="AC26" s="15"/>
      <c r="AD26" s="15">
        <v>10080000</v>
      </c>
      <c r="AE26" s="2"/>
      <c r="AF26" s="15">
        <v>10080000</v>
      </c>
      <c r="AG26" s="2"/>
      <c r="AH26" s="15">
        <v>10080000</v>
      </c>
      <c r="AI26" s="2"/>
      <c r="AJ26" s="15">
        <v>10080000</v>
      </c>
      <c r="AK26" s="15"/>
      <c r="AL26" s="15">
        <v>10080000</v>
      </c>
      <c r="AM26" s="4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1:52" s="14" customFormat="1" ht="16.5" thickTop="1" x14ac:dyDescent="0.25">
      <c r="A27" s="16" t="s">
        <v>41</v>
      </c>
      <c r="B27" s="123">
        <f>SUM(B16:B26)</f>
        <v>-109167.7</v>
      </c>
      <c r="C27" s="123"/>
      <c r="D27" s="123">
        <f>SUM(D16:D26)</f>
        <v>-106861</v>
      </c>
      <c r="E27" s="123"/>
      <c r="F27" s="123">
        <f>SUM(F16:F26)</f>
        <v>-154775.5</v>
      </c>
      <c r="G27" s="123"/>
      <c r="H27" s="123">
        <f>SUM(H16:H26)</f>
        <v>-93861</v>
      </c>
      <c r="I27" s="123"/>
      <c r="J27" s="123">
        <f>SUM(J16:J26)</f>
        <v>-94526.5</v>
      </c>
      <c r="K27" s="16"/>
      <c r="L27" s="33">
        <f>SUM(L16:L26)</f>
        <v>-102740.62999999999</v>
      </c>
      <c r="M27" s="16"/>
      <c r="N27" s="33">
        <f>SUM(N16:N26)</f>
        <v>-179353</v>
      </c>
      <c r="O27" s="16"/>
      <c r="P27" s="33">
        <f>SUM(P16:P26)</f>
        <v>-86080</v>
      </c>
      <c r="Q27" s="33"/>
      <c r="R27" s="16">
        <v>-102749</v>
      </c>
      <c r="S27" s="4"/>
      <c r="T27" s="2"/>
      <c r="U27" s="17" t="s">
        <v>40</v>
      </c>
      <c r="V27" s="17"/>
      <c r="W27" s="128">
        <f>SUM(W26)</f>
        <v>10103380</v>
      </c>
      <c r="X27" s="128">
        <v>10080000</v>
      </c>
      <c r="Y27" s="128"/>
      <c r="Z27" s="128">
        <v>10080000</v>
      </c>
      <c r="AA27" s="16"/>
      <c r="AB27" s="16">
        <v>10080000</v>
      </c>
      <c r="AC27" s="16"/>
      <c r="AD27" s="16">
        <v>10080000</v>
      </c>
      <c r="AE27" s="17"/>
      <c r="AF27" s="16">
        <v>10080000</v>
      </c>
      <c r="AG27" s="17"/>
      <c r="AH27" s="16">
        <v>10080000</v>
      </c>
      <c r="AI27" s="17"/>
      <c r="AJ27" s="16">
        <v>10080000</v>
      </c>
      <c r="AK27" s="16"/>
      <c r="AL27" s="16">
        <v>10080000</v>
      </c>
      <c r="AM27" s="16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1:52" s="14" customFormat="1" x14ac:dyDescent="0.25">
      <c r="A28" s="23"/>
      <c r="B28" s="124"/>
      <c r="C28" s="124"/>
      <c r="D28" s="124"/>
      <c r="E28" s="124"/>
      <c r="F28" s="124"/>
      <c r="G28" s="124"/>
      <c r="H28" s="124"/>
      <c r="I28" s="124"/>
      <c r="J28" s="124"/>
      <c r="K28" s="23"/>
      <c r="L28" s="36"/>
      <c r="M28" s="23"/>
      <c r="N28" s="36"/>
      <c r="O28" s="23"/>
      <c r="P28" s="36"/>
      <c r="Q28" s="36"/>
      <c r="R28" s="23"/>
      <c r="S28" s="4"/>
      <c r="T28" s="2"/>
      <c r="U28" s="2"/>
      <c r="V28" s="2"/>
      <c r="W28" s="106"/>
      <c r="X28" s="106"/>
      <c r="Y28" s="106"/>
      <c r="Z28" s="106"/>
      <c r="AA28" s="4"/>
      <c r="AB28" s="4"/>
      <c r="AC28" s="4"/>
      <c r="AD28" s="4"/>
      <c r="AE28" s="2"/>
      <c r="AF28" s="4"/>
      <c r="AG28" s="2"/>
      <c r="AH28" s="4"/>
      <c r="AI28" s="2"/>
      <c r="AJ28" s="4"/>
      <c r="AK28" s="4"/>
      <c r="AL28" s="4"/>
      <c r="AM28" s="4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1:52" s="14" customFormat="1" x14ac:dyDescent="0.25">
      <c r="A29" s="16" t="s">
        <v>212</v>
      </c>
      <c r="B29" s="123">
        <f>B10+B27</f>
        <v>33742.300000000003</v>
      </c>
      <c r="C29" s="123"/>
      <c r="D29" s="123">
        <f>D10+D27</f>
        <v>32159</v>
      </c>
      <c r="E29" s="123"/>
      <c r="F29" s="123">
        <f>F10+F27</f>
        <v>-15755.5</v>
      </c>
      <c r="G29" s="161"/>
      <c r="H29" s="123">
        <f t="shared" ref="H29:J29" si="0">H10+H27</f>
        <v>45159</v>
      </c>
      <c r="I29" s="123"/>
      <c r="J29" s="123">
        <f t="shared" si="0"/>
        <v>44493.5</v>
      </c>
      <c r="K29" s="161"/>
      <c r="L29" s="39">
        <v>-3285</v>
      </c>
      <c r="M29" s="38"/>
      <c r="N29" s="39">
        <v>-3170</v>
      </c>
      <c r="O29" s="38"/>
      <c r="P29" s="39">
        <v>-3105</v>
      </c>
      <c r="Q29" s="39"/>
      <c r="R29" s="39">
        <v>-3040</v>
      </c>
      <c r="S29" s="4"/>
      <c r="T29" s="2"/>
      <c r="U29" s="11" t="s">
        <v>42</v>
      </c>
      <c r="V29" s="11"/>
      <c r="W29" s="172"/>
      <c r="X29" s="172"/>
      <c r="Y29" s="172"/>
      <c r="Z29" s="172"/>
      <c r="AA29" s="9"/>
      <c r="AB29" s="9"/>
      <c r="AC29" s="9"/>
      <c r="AD29" s="9"/>
      <c r="AE29" s="25"/>
      <c r="AF29" s="37"/>
      <c r="AG29" s="25"/>
      <c r="AH29" s="37"/>
      <c r="AI29" s="25"/>
      <c r="AJ29" s="37"/>
      <c r="AK29" s="37"/>
      <c r="AL29" s="37"/>
      <c r="AM29" s="37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1:52" x14ac:dyDescent="0.25">
      <c r="A30" s="23"/>
      <c r="B30" s="124"/>
      <c r="C30" s="124"/>
      <c r="D30" s="124"/>
      <c r="E30" s="124"/>
      <c r="F30" s="124"/>
      <c r="G30" s="124"/>
      <c r="H30" s="124"/>
      <c r="I30" s="124"/>
      <c r="J30" s="124"/>
      <c r="K30" s="23"/>
      <c r="M30" s="14"/>
      <c r="O30" s="14"/>
      <c r="Q30" s="28"/>
      <c r="R30" s="22"/>
      <c r="S30" s="18"/>
      <c r="U30" s="2" t="s">
        <v>44</v>
      </c>
      <c r="W30" s="106">
        <v>-310424</v>
      </c>
      <c r="X30" s="106">
        <f>Z32+0.1</f>
        <v>-260915.5</v>
      </c>
      <c r="Y30" s="106"/>
      <c r="Z30" s="106">
        <f>AB32</f>
        <v>-163678.03</v>
      </c>
      <c r="AA30" s="106"/>
      <c r="AB30" s="106">
        <f>AD32</f>
        <v>-136522.03</v>
      </c>
      <c r="AC30" s="106"/>
      <c r="AD30" s="106">
        <f>AF34</f>
        <v>-113840.53</v>
      </c>
      <c r="AE30" s="25"/>
      <c r="AF30" s="37"/>
      <c r="AG30" s="25"/>
      <c r="AH30" s="37"/>
      <c r="AI30" s="25"/>
      <c r="AJ30" s="37"/>
      <c r="AK30" s="37"/>
      <c r="AL30" s="37"/>
      <c r="AM30" s="40"/>
    </row>
    <row r="31" spans="1:52" s="25" customFormat="1" ht="16.5" thickBot="1" x14ac:dyDescent="0.3">
      <c r="A31" s="38" t="s">
        <v>62</v>
      </c>
      <c r="B31" s="125">
        <v>-7595</v>
      </c>
      <c r="C31" s="125"/>
      <c r="D31" s="125">
        <v>-7295</v>
      </c>
      <c r="E31" s="125"/>
      <c r="F31" s="125">
        <v>-7145</v>
      </c>
      <c r="G31" s="125"/>
      <c r="H31" s="125">
        <v>-6885</v>
      </c>
      <c r="I31" s="125"/>
      <c r="J31" s="125">
        <v>-6685</v>
      </c>
      <c r="K31" s="38"/>
      <c r="L31" s="10"/>
      <c r="M31" s="9"/>
      <c r="N31" s="10"/>
      <c r="O31" s="9"/>
      <c r="P31" s="10"/>
      <c r="Q31" s="10"/>
      <c r="R31" s="13"/>
      <c r="S31" s="18"/>
      <c r="U31" s="2" t="s">
        <v>46</v>
      </c>
      <c r="V31" s="2"/>
      <c r="W31" s="107">
        <v>-48259.45</v>
      </c>
      <c r="X31" s="107">
        <v>-49508.45</v>
      </c>
      <c r="Y31" s="107"/>
      <c r="Z31" s="107">
        <v>-97237.57</v>
      </c>
      <c r="AA31" s="107"/>
      <c r="AB31" s="107">
        <v>-27156</v>
      </c>
      <c r="AC31" s="107"/>
      <c r="AD31" s="107">
        <v>-22681.5</v>
      </c>
      <c r="AE31" s="11"/>
      <c r="AF31" s="9"/>
      <c r="AG31" s="11"/>
      <c r="AH31" s="9"/>
      <c r="AI31" s="11"/>
      <c r="AJ31" s="9"/>
      <c r="AK31" s="9"/>
      <c r="AL31" s="13"/>
      <c r="AM31" s="13"/>
    </row>
    <row r="32" spans="1:52" s="41" customFormat="1" ht="16.5" thickTop="1" x14ac:dyDescent="0.25">
      <c r="A32" s="14"/>
      <c r="B32" s="104"/>
      <c r="C32" s="104"/>
      <c r="D32" s="104"/>
      <c r="E32" s="104"/>
      <c r="F32" s="104"/>
      <c r="G32" s="104"/>
      <c r="H32" s="104"/>
      <c r="I32" s="104"/>
      <c r="J32" s="104"/>
      <c r="K32" s="14"/>
      <c r="L32" s="35">
        <v>0</v>
      </c>
      <c r="M32" s="2"/>
      <c r="N32" s="35">
        <v>0</v>
      </c>
      <c r="O32" s="2"/>
      <c r="P32" s="35">
        <v>0</v>
      </c>
      <c r="Q32" s="27"/>
      <c r="R32" s="35">
        <v>1269</v>
      </c>
      <c r="S32" s="18"/>
      <c r="T32" s="25"/>
      <c r="U32" s="17" t="s">
        <v>48</v>
      </c>
      <c r="V32" s="17"/>
      <c r="W32" s="128">
        <f>SUM(W30:W31)</f>
        <v>-358683.45</v>
      </c>
      <c r="X32" s="128">
        <f>SUM(X30:X31)</f>
        <v>-310423.95</v>
      </c>
      <c r="Y32" s="128"/>
      <c r="Z32" s="128">
        <f>SUM(Z30:Z31)</f>
        <v>-260915.6</v>
      </c>
      <c r="AA32" s="16"/>
      <c r="AB32" s="16">
        <f>SUM(AB30:AB31)</f>
        <v>-163678.03</v>
      </c>
      <c r="AC32" s="16"/>
      <c r="AD32" s="16">
        <f>SUM(AD30:AD31)</f>
        <v>-136522.03</v>
      </c>
      <c r="AE32" s="2"/>
      <c r="AF32" s="106">
        <v>-86381.9</v>
      </c>
      <c r="AG32" s="2"/>
      <c r="AH32" s="4">
        <v>17575</v>
      </c>
      <c r="AI32" s="2"/>
      <c r="AJ32" s="4">
        <v>28191</v>
      </c>
      <c r="AK32" s="4"/>
      <c r="AL32" s="4">
        <v>41859</v>
      </c>
      <c r="AM32" s="4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43" ht="16.5" thickBot="1" x14ac:dyDescent="0.3">
      <c r="A33" s="9" t="s">
        <v>250</v>
      </c>
      <c r="B33" s="126">
        <f>B29+B31</f>
        <v>26147.300000000003</v>
      </c>
      <c r="C33" s="126"/>
      <c r="D33" s="126">
        <f t="shared" ref="D33:J33" si="1">D29+D31</f>
        <v>24864</v>
      </c>
      <c r="E33" s="126"/>
      <c r="F33" s="126">
        <f t="shared" si="1"/>
        <v>-22900.5</v>
      </c>
      <c r="G33" s="126"/>
      <c r="H33" s="126">
        <f t="shared" si="1"/>
        <v>38274</v>
      </c>
      <c r="I33" s="126"/>
      <c r="J33" s="126">
        <f t="shared" si="1"/>
        <v>37808.5</v>
      </c>
      <c r="K33" s="9"/>
      <c r="L33" s="42">
        <v>-35</v>
      </c>
      <c r="N33" s="42">
        <v>-36</v>
      </c>
      <c r="P33" s="42">
        <v>-33</v>
      </c>
      <c r="R33" s="42">
        <v>0</v>
      </c>
      <c r="S33" s="4"/>
      <c r="U33" s="19"/>
      <c r="V33" s="19"/>
      <c r="W33" s="186"/>
      <c r="X33" s="186"/>
      <c r="Y33" s="186"/>
      <c r="Z33" s="186"/>
      <c r="AA33" s="18"/>
      <c r="AB33" s="18"/>
      <c r="AC33" s="18"/>
      <c r="AD33" s="18"/>
      <c r="AF33" s="107">
        <v>-27458.63</v>
      </c>
      <c r="AH33" s="15">
        <v>-103957</v>
      </c>
      <c r="AJ33" s="15">
        <v>-10616</v>
      </c>
      <c r="AK33" s="15"/>
      <c r="AL33" s="15">
        <v>-13668</v>
      </c>
      <c r="AM33" s="4"/>
    </row>
    <row r="34" spans="1:43" ht="16.5" thickTop="1" x14ac:dyDescent="0.25">
      <c r="A34" s="2" t="s">
        <v>45</v>
      </c>
      <c r="B34" s="104">
        <v>148.32</v>
      </c>
      <c r="C34" s="104"/>
      <c r="D34" s="104">
        <v>0</v>
      </c>
      <c r="E34" s="104"/>
      <c r="F34" s="104">
        <v>0</v>
      </c>
      <c r="G34" s="104"/>
      <c r="H34" s="104">
        <v>0</v>
      </c>
      <c r="I34" s="104"/>
      <c r="J34" s="104">
        <v>0</v>
      </c>
      <c r="L34" s="33">
        <f>SUM(L32:L33)</f>
        <v>-35</v>
      </c>
      <c r="M34" s="16"/>
      <c r="N34" s="33">
        <f>SUM(N32:N33)</f>
        <v>-36</v>
      </c>
      <c r="O34" s="16"/>
      <c r="P34" s="33">
        <f>SUM(P32:P33)</f>
        <v>-33</v>
      </c>
      <c r="Q34" s="33"/>
      <c r="R34" s="16">
        <f>SUM(R32:R33)</f>
        <v>1269</v>
      </c>
      <c r="S34" s="4"/>
      <c r="U34" s="11" t="s">
        <v>50</v>
      </c>
      <c r="V34" s="11"/>
      <c r="W34" s="172"/>
      <c r="X34" s="172"/>
      <c r="Y34" s="172"/>
      <c r="Z34" s="172"/>
      <c r="AA34" s="9"/>
      <c r="AB34" s="9"/>
      <c r="AC34" s="9"/>
      <c r="AD34" s="9"/>
      <c r="AE34" s="17"/>
      <c r="AF34" s="16">
        <f>SUM(AF32:AF33)</f>
        <v>-113840.53</v>
      </c>
      <c r="AG34" s="17"/>
      <c r="AH34" s="16">
        <f>SUM(AH32:AH33)</f>
        <v>-86382</v>
      </c>
      <c r="AI34" s="17"/>
      <c r="AJ34" s="16">
        <f>SUM(AJ32:AJ33)</f>
        <v>17575</v>
      </c>
      <c r="AK34" s="16"/>
      <c r="AL34" s="16">
        <v>28191</v>
      </c>
      <c r="AM34" s="16"/>
    </row>
    <row r="35" spans="1:43" ht="16.5" thickBot="1" x14ac:dyDescent="0.3">
      <c r="A35" s="2" t="s">
        <v>134</v>
      </c>
      <c r="B35" s="105">
        <v>-295</v>
      </c>
      <c r="C35" s="105"/>
      <c r="D35" s="105">
        <v>-112</v>
      </c>
      <c r="E35" s="105"/>
      <c r="F35" s="105">
        <v>-77</v>
      </c>
      <c r="G35" s="105"/>
      <c r="H35" s="105">
        <v>-74</v>
      </c>
      <c r="I35" s="105"/>
      <c r="J35" s="105">
        <v>-72</v>
      </c>
      <c r="R35" s="4"/>
      <c r="S35" s="4"/>
      <c r="U35" s="2" t="s">
        <v>52</v>
      </c>
      <c r="W35" s="106">
        <v>0</v>
      </c>
      <c r="X35" s="106">
        <v>0</v>
      </c>
      <c r="Y35" s="106"/>
      <c r="Z35" s="106">
        <v>0</v>
      </c>
      <c r="AB35" s="4">
        <v>0</v>
      </c>
      <c r="AD35" s="4">
        <v>0</v>
      </c>
      <c r="AE35" s="19"/>
      <c r="AF35" s="18"/>
      <c r="AG35" s="19"/>
      <c r="AH35" s="18"/>
      <c r="AI35" s="19"/>
      <c r="AJ35" s="18"/>
      <c r="AK35" s="18"/>
      <c r="AL35" s="18"/>
      <c r="AM35" s="18"/>
    </row>
    <row r="36" spans="1:43" ht="16.5" thickTop="1" x14ac:dyDescent="0.25">
      <c r="A36" s="16" t="s">
        <v>260</v>
      </c>
      <c r="B36" s="123">
        <f>SUM(B34:B35)</f>
        <v>-146.68</v>
      </c>
      <c r="C36" s="123"/>
      <c r="D36" s="123">
        <f>SUM(D34:D35)</f>
        <v>-112</v>
      </c>
      <c r="E36" s="123"/>
      <c r="F36" s="123">
        <f>SUM(F34:F35)</f>
        <v>-77</v>
      </c>
      <c r="G36" s="123"/>
      <c r="H36" s="123">
        <f>SUM(H34:H35)</f>
        <v>-74</v>
      </c>
      <c r="I36" s="123"/>
      <c r="J36" s="123">
        <f>SUM(J34:J35)</f>
        <v>-72</v>
      </c>
      <c r="K36" s="16"/>
      <c r="L36" s="10"/>
      <c r="M36" s="9"/>
      <c r="N36" s="10"/>
      <c r="O36" s="9"/>
      <c r="P36" s="10"/>
      <c r="Q36" s="10"/>
      <c r="R36" s="13"/>
      <c r="S36" s="4"/>
      <c r="W36" s="106"/>
      <c r="X36" s="106"/>
      <c r="Y36" s="106"/>
      <c r="Z36" s="106"/>
      <c r="AE36" s="11"/>
      <c r="AF36" s="9"/>
      <c r="AG36" s="11"/>
      <c r="AH36" s="9"/>
      <c r="AI36" s="11"/>
      <c r="AJ36" s="9"/>
      <c r="AK36" s="9"/>
      <c r="AL36" s="13"/>
      <c r="AM36" s="13"/>
    </row>
    <row r="37" spans="1:43" ht="16.5" thickBot="1" x14ac:dyDescent="0.3">
      <c r="B37" s="104"/>
      <c r="C37" s="104"/>
      <c r="D37" s="104"/>
      <c r="E37" s="104"/>
      <c r="F37" s="104"/>
      <c r="G37" s="104"/>
      <c r="H37" s="104"/>
      <c r="I37" s="104"/>
      <c r="J37" s="104"/>
      <c r="L37" s="35">
        <v>-60418</v>
      </c>
      <c r="N37" s="42">
        <v>-60418</v>
      </c>
      <c r="P37" s="42">
        <v>-60418</v>
      </c>
      <c r="R37" s="42">
        <v>-48168</v>
      </c>
      <c r="S37" s="4"/>
      <c r="U37" s="2" t="s">
        <v>54</v>
      </c>
      <c r="V37" s="2" t="s">
        <v>100</v>
      </c>
      <c r="W37" s="108">
        <v>21223</v>
      </c>
      <c r="X37" s="108">
        <f>112+7503+17011</f>
        <v>24626</v>
      </c>
      <c r="Y37" s="108"/>
      <c r="Z37" s="108">
        <f>9544+19928.5+77</f>
        <v>29549.5</v>
      </c>
      <c r="AA37" s="108"/>
      <c r="AB37" s="108">
        <f>23677-20</f>
        <v>23657</v>
      </c>
      <c r="AC37" s="108"/>
      <c r="AD37" s="108">
        <v>25302</v>
      </c>
      <c r="AF37" s="4">
        <v>0</v>
      </c>
      <c r="AH37" s="4">
        <v>0</v>
      </c>
      <c r="AJ37" s="4">
        <v>0</v>
      </c>
      <c r="AL37" s="4">
        <v>0</v>
      </c>
      <c r="AM37" s="4"/>
    </row>
    <row r="38" spans="1:43" ht="17.25" thickTop="1" thickBot="1" x14ac:dyDescent="0.3">
      <c r="A38" s="9" t="s">
        <v>49</v>
      </c>
      <c r="B38" s="126"/>
      <c r="C38" s="126"/>
      <c r="D38" s="126"/>
      <c r="E38" s="126"/>
      <c r="F38" s="126"/>
      <c r="G38" s="126"/>
      <c r="H38" s="126"/>
      <c r="I38" s="126"/>
      <c r="J38" s="126"/>
      <c r="K38" s="9"/>
      <c r="L38" s="42"/>
      <c r="R38" s="35"/>
      <c r="S38" s="4"/>
      <c r="U38" s="17" t="s">
        <v>56</v>
      </c>
      <c r="V38" s="17"/>
      <c r="W38" s="128">
        <f t="shared" ref="W38:X38" si="2">SUM(W35:W37)</f>
        <v>21223</v>
      </c>
      <c r="X38" s="128">
        <f t="shared" si="2"/>
        <v>24626</v>
      </c>
      <c r="Y38" s="128"/>
      <c r="Z38" s="128">
        <f t="shared" ref="Z38:AB38" si="3">SUM(Z35:Z37)</f>
        <v>29549.5</v>
      </c>
      <c r="AA38" s="16"/>
      <c r="AB38" s="16">
        <f t="shared" si="3"/>
        <v>23657</v>
      </c>
      <c r="AC38" s="16"/>
      <c r="AD38" s="16">
        <f t="shared" ref="AD38:AF40" si="4">SUM(AD35:AD37)</f>
        <v>25302</v>
      </c>
      <c r="AL38" s="4"/>
      <c r="AM38" s="4"/>
    </row>
    <row r="39" spans="1:43" ht="16.5" thickTop="1" x14ac:dyDescent="0.25">
      <c r="A39" s="2" t="s">
        <v>53</v>
      </c>
      <c r="B39" s="104">
        <v>-60418</v>
      </c>
      <c r="C39" s="104"/>
      <c r="D39" s="104">
        <v>-60418</v>
      </c>
      <c r="E39" s="104"/>
      <c r="F39" s="104">
        <v>-60418</v>
      </c>
      <c r="G39" s="104"/>
      <c r="H39" s="104">
        <v>-60418</v>
      </c>
      <c r="I39" s="104"/>
      <c r="J39" s="104">
        <v>-60418</v>
      </c>
      <c r="L39" s="33">
        <f>+L37</f>
        <v>-60418</v>
      </c>
      <c r="M39" s="17"/>
      <c r="N39" s="33">
        <f>+N37</f>
        <v>-60418</v>
      </c>
      <c r="O39" s="17"/>
      <c r="P39" s="33">
        <f>+P37</f>
        <v>-60418</v>
      </c>
      <c r="Q39" s="34"/>
      <c r="R39" s="16">
        <v>-48168</v>
      </c>
      <c r="S39" s="4"/>
      <c r="W39" s="106"/>
      <c r="X39" s="106"/>
      <c r="Y39" s="106"/>
      <c r="Z39" s="106"/>
      <c r="AF39" s="108">
        <v>22005</v>
      </c>
      <c r="AH39" s="44">
        <v>21514</v>
      </c>
      <c r="AJ39" s="44">
        <v>30030</v>
      </c>
      <c r="AL39" s="44">
        <v>25065</v>
      </c>
      <c r="AM39" s="4"/>
    </row>
    <row r="40" spans="1:43" ht="19.5" thickBot="1" x14ac:dyDescent="0.35">
      <c r="A40" s="2" t="s">
        <v>186</v>
      </c>
      <c r="B40" s="105">
        <v>-13842.07</v>
      </c>
      <c r="C40" s="105"/>
      <c r="D40" s="105">
        <v>-13842.07</v>
      </c>
      <c r="E40" s="105"/>
      <c r="F40" s="105">
        <v>-13842.07</v>
      </c>
      <c r="G40" s="105"/>
      <c r="H40" s="105">
        <v>-4938</v>
      </c>
      <c r="I40" s="105"/>
      <c r="J40" s="105"/>
      <c r="R40" s="4"/>
      <c r="S40" s="4"/>
      <c r="U40" s="20" t="s">
        <v>58</v>
      </c>
      <c r="V40" s="20"/>
      <c r="W40" s="128">
        <f>W27+W32+W38</f>
        <v>9765919.5500000007</v>
      </c>
      <c r="X40" s="128">
        <f>X27+X32+X38</f>
        <v>9794202.0500000007</v>
      </c>
      <c r="Y40" s="128"/>
      <c r="Z40" s="128">
        <f>Z27+Z32+Z38</f>
        <v>9848633.9000000004</v>
      </c>
      <c r="AA40" s="16"/>
      <c r="AB40" s="128">
        <f>AB27+AB32+AB38</f>
        <v>9939978.9700000007</v>
      </c>
      <c r="AC40" s="16"/>
      <c r="AD40" s="128">
        <f>AD27+AD32+AD38</f>
        <v>9968779.9700000007</v>
      </c>
      <c r="AE40" s="17"/>
      <c r="AF40" s="16">
        <f t="shared" si="4"/>
        <v>22005</v>
      </c>
      <c r="AG40" s="17"/>
      <c r="AH40" s="16">
        <f t="shared" ref="AH40:AJ40" si="5">SUM(AH37:AH39)</f>
        <v>21514</v>
      </c>
      <c r="AI40" s="17"/>
      <c r="AJ40" s="16">
        <f t="shared" si="5"/>
        <v>30030</v>
      </c>
      <c r="AK40" s="16"/>
      <c r="AL40" s="16">
        <v>25065</v>
      </c>
      <c r="AM40" s="16"/>
    </row>
    <row r="41" spans="1:43" ht="16.5" thickTop="1" x14ac:dyDescent="0.25">
      <c r="A41" s="17" t="s">
        <v>55</v>
      </c>
      <c r="B41" s="123">
        <f>+B39+B40</f>
        <v>-74260.070000000007</v>
      </c>
      <c r="C41" s="123"/>
      <c r="D41" s="123">
        <f>+D39+D40</f>
        <v>-74260.070000000007</v>
      </c>
      <c r="E41" s="123"/>
      <c r="F41" s="123">
        <f>+F39+F40</f>
        <v>-74260.070000000007</v>
      </c>
      <c r="G41" s="123"/>
      <c r="H41" s="123">
        <f>+H39+H40</f>
        <v>-65356</v>
      </c>
      <c r="I41" s="123"/>
      <c r="J41" s="123">
        <f>+J39</f>
        <v>-60418</v>
      </c>
      <c r="K41" s="17"/>
      <c r="L41" s="32">
        <v>0</v>
      </c>
      <c r="M41" s="19"/>
      <c r="N41" s="32">
        <v>0</v>
      </c>
      <c r="O41" s="19"/>
      <c r="P41" s="32">
        <v>0</v>
      </c>
      <c r="R41" s="32">
        <v>0</v>
      </c>
      <c r="S41" s="4"/>
      <c r="W41" s="106"/>
      <c r="X41" s="106"/>
      <c r="Y41" s="106"/>
      <c r="Z41" s="106"/>
    </row>
    <row r="42" spans="1:43" ht="18.75" hidden="1" x14ac:dyDescent="0.3">
      <c r="B42" s="104"/>
      <c r="C42" s="104"/>
      <c r="D42" s="104"/>
      <c r="E42" s="104"/>
      <c r="F42" s="104"/>
      <c r="G42" s="104"/>
      <c r="H42" s="104"/>
      <c r="I42" s="104"/>
      <c r="J42" s="104"/>
      <c r="R42" s="4"/>
      <c r="S42" s="4"/>
      <c r="U42" s="20" t="s">
        <v>58</v>
      </c>
      <c r="V42" s="20"/>
      <c r="W42" s="128">
        <f>W27+W32+W38</f>
        <v>9765919.5500000007</v>
      </c>
      <c r="X42" s="128">
        <f>X27+X32+X38</f>
        <v>9794202.0500000007</v>
      </c>
      <c r="Y42" s="128"/>
      <c r="Z42" s="128">
        <f>Z27+Z32+Z38</f>
        <v>9848633.9000000004</v>
      </c>
      <c r="AA42" s="16"/>
      <c r="AB42" s="16">
        <f>AB27+AB32+AB38</f>
        <v>9939978.9700000007</v>
      </c>
      <c r="AC42" s="16"/>
      <c r="AD42" s="16">
        <f>AD27+AD32+AD38</f>
        <v>9968779.9700000007</v>
      </c>
      <c r="AL42" s="4"/>
      <c r="AM42" s="4"/>
    </row>
    <row r="43" spans="1:43" ht="18.75" hidden="1" x14ac:dyDescent="0.3">
      <c r="A43" s="19" t="s">
        <v>57</v>
      </c>
      <c r="B43" s="127">
        <v>0</v>
      </c>
      <c r="C43" s="127"/>
      <c r="D43" s="127">
        <v>0</v>
      </c>
      <c r="E43" s="127"/>
      <c r="F43" s="127">
        <v>0</v>
      </c>
      <c r="G43" s="127"/>
      <c r="H43" s="127">
        <v>0</v>
      </c>
      <c r="I43" s="127"/>
      <c r="J43" s="127">
        <v>0</v>
      </c>
      <c r="K43" s="19"/>
      <c r="L43" s="16">
        <f>+L41+L39+L34+L29+L27+L10</f>
        <v>-27458.630000000005</v>
      </c>
      <c r="M43" s="20"/>
      <c r="N43" s="16">
        <f>+N41+N39+N34+N29+N27+N10</f>
        <v>-103957</v>
      </c>
      <c r="O43" s="20"/>
      <c r="P43" s="16">
        <f>+P41+P39+P34+P29+P27+P10</f>
        <v>-10616</v>
      </c>
      <c r="Q43" s="16"/>
      <c r="R43" s="16">
        <f>+R41+R39+R34+R29+R27+R10</f>
        <v>-13668</v>
      </c>
      <c r="S43" s="4"/>
      <c r="W43" s="106"/>
      <c r="X43" s="106"/>
      <c r="Y43" s="106"/>
      <c r="Z43" s="106"/>
    </row>
    <row r="44" spans="1:43" ht="18.75" x14ac:dyDescent="0.3">
      <c r="B44" s="104"/>
      <c r="C44" s="104"/>
      <c r="D44" s="104"/>
      <c r="E44" s="104"/>
      <c r="F44" s="104"/>
      <c r="G44" s="104"/>
      <c r="H44" s="104"/>
      <c r="I44" s="104"/>
      <c r="J44" s="104"/>
      <c r="S44" s="4"/>
      <c r="W44" s="71">
        <f>+W19-W40</f>
        <v>0.51999999955296516</v>
      </c>
      <c r="X44" s="71">
        <f>+X19-X40</f>
        <v>0.4699999988079071</v>
      </c>
      <c r="Y44" s="71"/>
      <c r="Z44" s="71">
        <f>+Z19-Z40</f>
        <v>0.31999999843537807</v>
      </c>
      <c r="AA44" s="2"/>
      <c r="AB44" s="2">
        <f>+AB19-AB42</f>
        <v>0.5</v>
      </c>
      <c r="AC44" s="2"/>
      <c r="AD44" s="2">
        <f>+AD19-AD42</f>
        <v>0</v>
      </c>
      <c r="AE44" s="20"/>
      <c r="AF44" s="16">
        <f>AF27+AF34+AF40</f>
        <v>9988164.4700000007</v>
      </c>
      <c r="AG44" s="20"/>
      <c r="AH44" s="16">
        <f>AH27+AH34+AH40</f>
        <v>10015132</v>
      </c>
      <c r="AI44" s="20"/>
      <c r="AJ44" s="16">
        <f>AJ27+AJ34+AJ40</f>
        <v>10127605</v>
      </c>
      <c r="AK44" s="16"/>
      <c r="AL44" s="16">
        <v>10133256</v>
      </c>
      <c r="AM44" s="21"/>
    </row>
    <row r="45" spans="1:43" ht="18.75" x14ac:dyDescent="0.3">
      <c r="A45" s="20" t="s">
        <v>46</v>
      </c>
      <c r="B45" s="128">
        <f>B33+B36+B41</f>
        <v>-48259.450000000004</v>
      </c>
      <c r="C45" s="128"/>
      <c r="D45" s="128">
        <f t="shared" ref="D45:J45" si="6">D33+D36+D41</f>
        <v>-49508.070000000007</v>
      </c>
      <c r="E45" s="128"/>
      <c r="F45" s="128">
        <f t="shared" si="6"/>
        <v>-97237.57</v>
      </c>
      <c r="G45" s="128"/>
      <c r="H45" s="128">
        <f t="shared" si="6"/>
        <v>-27156</v>
      </c>
      <c r="I45" s="128"/>
      <c r="J45" s="128">
        <f t="shared" si="6"/>
        <v>-22681.5</v>
      </c>
      <c r="K45" s="20"/>
      <c r="S45" s="4"/>
      <c r="AQ45" s="22"/>
    </row>
    <row r="46" spans="1:43" x14ac:dyDescent="0.25">
      <c r="S46" s="4"/>
      <c r="AF46" s="2">
        <f t="shared" ref="AF46" si="7">+AF19-AF44</f>
        <v>0</v>
      </c>
      <c r="AH46" s="2">
        <f t="shared" ref="AH46:AJ46" si="8">+AH19-AH44</f>
        <v>0</v>
      </c>
      <c r="AJ46" s="2">
        <f t="shared" si="8"/>
        <v>0</v>
      </c>
      <c r="AK46" s="2"/>
      <c r="AL46" s="2">
        <v>0</v>
      </c>
    </row>
    <row r="47" spans="1:43" x14ac:dyDescent="0.25">
      <c r="S47" s="18"/>
      <c r="AN47" s="14"/>
    </row>
    <row r="50" spans="1:20" x14ac:dyDescent="0.25">
      <c r="M50" s="14"/>
      <c r="O50" s="14"/>
      <c r="Q50" s="28"/>
      <c r="R50" s="14"/>
    </row>
    <row r="51" spans="1:20" x14ac:dyDescent="0.25">
      <c r="M51" s="14"/>
      <c r="O51" s="14"/>
      <c r="Q51" s="28"/>
      <c r="R51" s="14"/>
      <c r="T51" s="14"/>
    </row>
    <row r="52" spans="1:20" x14ac:dyDescent="0.25">
      <c r="A52" s="14"/>
      <c r="K52" s="14"/>
      <c r="M52" s="14"/>
      <c r="O52" s="14"/>
      <c r="Q52" s="28"/>
      <c r="R52" s="14"/>
      <c r="T52" s="14"/>
    </row>
    <row r="53" spans="1:20" x14ac:dyDescent="0.25">
      <c r="A53" s="14"/>
      <c r="K53" s="14"/>
      <c r="M53" s="14"/>
      <c r="O53" s="14"/>
      <c r="Q53" s="28"/>
      <c r="R53" s="14"/>
      <c r="T53" s="14"/>
    </row>
    <row r="54" spans="1:20" x14ac:dyDescent="0.25">
      <c r="A54" s="14"/>
      <c r="K54" s="14"/>
      <c r="S54" s="14"/>
      <c r="T54" s="14"/>
    </row>
    <row r="55" spans="1:20" x14ac:dyDescent="0.25">
      <c r="A55" s="14"/>
      <c r="K55" s="14"/>
      <c r="S55" s="14"/>
    </row>
    <row r="56" spans="1:20" x14ac:dyDescent="0.25">
      <c r="S56" s="14"/>
    </row>
    <row r="57" spans="1:20" x14ac:dyDescent="0.25">
      <c r="S57" s="14"/>
    </row>
  </sheetData>
  <pageMargins left="0.25" right="0.25" top="0.75" bottom="0.75" header="0.3" footer="0.3"/>
  <pageSetup paperSize="9" scale="57" orientation="landscape" r:id="rId1"/>
  <colBreaks count="2" manualBreakCount="2">
    <brk id="20" max="46" man="1"/>
    <brk id="3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zoomScaleNormal="100" workbookViewId="0">
      <selection activeCell="C7" sqref="C7:E41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124</v>
      </c>
      <c r="B4" s="4"/>
      <c r="H4" s="5" t="s">
        <v>127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119</v>
      </c>
      <c r="D7" s="10"/>
      <c r="E7" s="10" t="s">
        <v>61</v>
      </c>
      <c r="F7" s="32"/>
      <c r="H7" s="11" t="s">
        <v>10</v>
      </c>
      <c r="I7" s="11"/>
      <c r="J7" s="26" t="s">
        <v>120</v>
      </c>
      <c r="K7" s="26"/>
      <c r="L7" s="26" t="s">
        <v>59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35">
        <v>139020</v>
      </c>
      <c r="F8" s="4"/>
      <c r="G8" s="2"/>
      <c r="H8" s="2" t="s">
        <v>12</v>
      </c>
      <c r="I8" s="2" t="s">
        <v>66</v>
      </c>
      <c r="J8" s="4">
        <v>8563115</v>
      </c>
      <c r="K8" s="4"/>
      <c r="L8" s="4">
        <v>8243783</v>
      </c>
      <c r="M8" s="4"/>
      <c r="N8" s="2"/>
    </row>
    <row r="9" spans="1:23" s="14" customFormat="1" ht="16.5" thickBot="1" x14ac:dyDescent="0.3">
      <c r="A9" s="16" t="s">
        <v>15</v>
      </c>
      <c r="B9" s="16"/>
      <c r="C9" s="33">
        <v>139020</v>
      </c>
      <c r="D9" s="29"/>
      <c r="E9" s="16">
        <f>SUM(E8:E8)</f>
        <v>139020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23"/>
      <c r="B10" s="23"/>
      <c r="C10" s="36"/>
      <c r="D10" s="30"/>
      <c r="E10" s="23"/>
      <c r="F10" s="18"/>
      <c r="H10" s="17" t="s">
        <v>16</v>
      </c>
      <c r="I10" s="17"/>
      <c r="J10" s="16">
        <f>J8+J9</f>
        <v>10105166</v>
      </c>
      <c r="K10" s="16"/>
      <c r="L10" s="16">
        <f>SUM(L8:L9)</f>
        <v>9785834</v>
      </c>
      <c r="M10" s="16"/>
    </row>
    <row r="11" spans="1:23" s="25" customFormat="1" x14ac:dyDescent="0.25">
      <c r="A11" s="18"/>
      <c r="B11" s="18"/>
      <c r="C11" s="32"/>
      <c r="D11" s="31"/>
      <c r="E11" s="18"/>
      <c r="F11" s="18"/>
      <c r="H11" s="24"/>
      <c r="I11" s="24"/>
      <c r="J11" s="23"/>
      <c r="K11" s="23"/>
      <c r="L11" s="23"/>
      <c r="M11" s="23"/>
    </row>
    <row r="12" spans="1:23" ht="18.75" x14ac:dyDescent="0.3">
      <c r="A12" s="7" t="s">
        <v>17</v>
      </c>
      <c r="B12" s="7"/>
      <c r="C12" s="32"/>
      <c r="E12" s="4"/>
      <c r="F12" s="18"/>
      <c r="H12" s="43" t="s">
        <v>60</v>
      </c>
      <c r="I12" s="41" t="s">
        <v>94</v>
      </c>
      <c r="J12" s="38">
        <v>0</v>
      </c>
      <c r="K12" s="38"/>
      <c r="L12" s="38">
        <v>5462</v>
      </c>
      <c r="M12" s="38"/>
    </row>
    <row r="13" spans="1:23" s="14" customFormat="1" x14ac:dyDescent="0.25">
      <c r="A13" s="9" t="s">
        <v>18</v>
      </c>
      <c r="B13" s="9"/>
      <c r="C13" s="10"/>
      <c r="D13" s="10"/>
      <c r="E13" s="13"/>
      <c r="F13" s="4"/>
      <c r="G13" s="2"/>
      <c r="H13" s="19"/>
      <c r="I13" s="19"/>
      <c r="J13" s="18"/>
      <c r="K13" s="18"/>
      <c r="L13" s="18"/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2" t="s">
        <v>20</v>
      </c>
      <c r="B14" s="2"/>
      <c r="C14" s="35">
        <v>0</v>
      </c>
      <c r="D14" s="32"/>
      <c r="E14" s="35">
        <v>-700</v>
      </c>
      <c r="F14" s="4"/>
      <c r="G14" s="2"/>
      <c r="H14" s="11" t="s">
        <v>19</v>
      </c>
      <c r="I14" s="11"/>
      <c r="J14" s="9"/>
      <c r="K14" s="9"/>
      <c r="L14" s="13"/>
      <c r="M14" s="13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22</v>
      </c>
      <c r="B15" s="2" t="s">
        <v>104</v>
      </c>
      <c r="C15" s="35">
        <v>0</v>
      </c>
      <c r="D15" s="28"/>
      <c r="E15" s="35">
        <v>22201</v>
      </c>
      <c r="F15" s="4"/>
      <c r="G15" s="2"/>
      <c r="H15" s="2" t="s">
        <v>21</v>
      </c>
      <c r="I15" s="2"/>
      <c r="J15" s="4">
        <f>13764+14326</f>
        <v>28090</v>
      </c>
      <c r="K15" s="4"/>
      <c r="L15" s="4">
        <v>199447</v>
      </c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24</v>
      </c>
      <c r="B16" s="2"/>
      <c r="C16" s="35">
        <v>-26444</v>
      </c>
      <c r="D16" s="28"/>
      <c r="E16" s="35">
        <v>-3969</v>
      </c>
      <c r="F16" s="4"/>
      <c r="G16" s="2"/>
      <c r="H16" s="2" t="s">
        <v>23</v>
      </c>
      <c r="I16" s="2"/>
      <c r="J16" s="4">
        <v>0</v>
      </c>
      <c r="K16" s="4"/>
      <c r="L16" s="4">
        <v>156384</v>
      </c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x14ac:dyDescent="0.25">
      <c r="A17" s="2" t="s">
        <v>26</v>
      </c>
      <c r="B17" s="2"/>
      <c r="C17" s="35">
        <v>-10002</v>
      </c>
      <c r="D17" s="28"/>
      <c r="E17" s="35">
        <v>-10284</v>
      </c>
      <c r="F17" s="4"/>
      <c r="G17" s="2"/>
      <c r="H17" s="17" t="s">
        <v>25</v>
      </c>
      <c r="I17" s="17"/>
      <c r="J17" s="16">
        <f>J15+J16</f>
        <v>28090</v>
      </c>
      <c r="K17" s="16"/>
      <c r="L17" s="16">
        <f>SUM(L15:L16)</f>
        <v>355831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x14ac:dyDescent="0.25">
      <c r="A18" s="2" t="s">
        <v>27</v>
      </c>
      <c r="B18" s="2"/>
      <c r="C18" s="35">
        <v>-7102</v>
      </c>
      <c r="D18" s="28"/>
      <c r="E18" s="35">
        <v>-8227</v>
      </c>
      <c r="F18" s="4"/>
      <c r="G18" s="2"/>
      <c r="H18" s="19"/>
      <c r="I18" s="19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ht="18.75" x14ac:dyDescent="0.3">
      <c r="A19" s="2" t="s">
        <v>29</v>
      </c>
      <c r="B19" s="2"/>
      <c r="C19" s="35">
        <v>-38929</v>
      </c>
      <c r="D19" s="28"/>
      <c r="E19" s="35">
        <v>-38449</v>
      </c>
      <c r="F19" s="4"/>
      <c r="G19" s="2"/>
      <c r="H19" s="20" t="s">
        <v>28</v>
      </c>
      <c r="I19" s="20"/>
      <c r="J19" s="16">
        <f>J10+J12+J17</f>
        <v>10133256</v>
      </c>
      <c r="K19" s="16"/>
      <c r="L19" s="16">
        <f t="shared" ref="L19" si="0">L10+L12+L17</f>
        <v>10147127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ht="18.75" x14ac:dyDescent="0.3">
      <c r="A20" s="2" t="s">
        <v>30</v>
      </c>
      <c r="B20" s="2"/>
      <c r="C20" s="35">
        <v>-8540</v>
      </c>
      <c r="D20" s="28"/>
      <c r="E20" s="35">
        <v>-10333</v>
      </c>
      <c r="F20" s="4"/>
      <c r="G20" s="2"/>
      <c r="H20" s="7"/>
      <c r="I20" s="7"/>
      <c r="J20" s="18"/>
      <c r="K20" s="18"/>
      <c r="L20" s="18"/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31</v>
      </c>
      <c r="B21" s="2"/>
      <c r="C21" s="35">
        <v>-5427</v>
      </c>
      <c r="D21" s="28"/>
      <c r="E21" s="35">
        <v>-5448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x14ac:dyDescent="0.25">
      <c r="A22" s="2" t="s">
        <v>32</v>
      </c>
      <c r="B22" s="2"/>
      <c r="C22" s="35">
        <v>-131</v>
      </c>
      <c r="D22" s="28"/>
      <c r="E22" s="35">
        <v>-778</v>
      </c>
      <c r="F22" s="4"/>
      <c r="G22" s="2"/>
      <c r="J22" s="4"/>
      <c r="K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33</v>
      </c>
      <c r="B23" s="2"/>
      <c r="C23" s="35">
        <v>-1757</v>
      </c>
      <c r="D23" s="28"/>
      <c r="E23" s="35">
        <v>0</v>
      </c>
      <c r="F23" s="4"/>
      <c r="G23" s="2"/>
      <c r="J23" s="4"/>
      <c r="K23" s="4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8.75" x14ac:dyDescent="0.3">
      <c r="A24" s="2" t="s">
        <v>35</v>
      </c>
      <c r="B24" s="2"/>
      <c r="C24" s="35">
        <v>0</v>
      </c>
      <c r="D24" s="28"/>
      <c r="E24" s="35">
        <v>-1549</v>
      </c>
      <c r="F24" s="4"/>
      <c r="G24" s="2"/>
      <c r="H24" s="7" t="s">
        <v>34</v>
      </c>
      <c r="I24" s="7"/>
      <c r="J24" s="18"/>
      <c r="K24" s="18"/>
      <c r="L24" s="4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x14ac:dyDescent="0.25">
      <c r="A25" s="2" t="s">
        <v>37</v>
      </c>
      <c r="B25" s="2"/>
      <c r="C25" s="35">
        <f>-1000-2252</f>
        <v>-3252</v>
      </c>
      <c r="D25" s="28"/>
      <c r="E25" s="35">
        <v>-3526</v>
      </c>
      <c r="F25" s="4"/>
      <c r="G25" s="2"/>
      <c r="H25" s="11" t="s">
        <v>36</v>
      </c>
      <c r="I25" s="11"/>
      <c r="J25" s="9"/>
      <c r="K25" s="9"/>
      <c r="L25" s="9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ht="16.5" thickBot="1" x14ac:dyDescent="0.3">
      <c r="A26" s="2" t="s">
        <v>39</v>
      </c>
      <c r="B26" s="2"/>
      <c r="C26" s="42">
        <v>-1165</v>
      </c>
      <c r="D26" s="28"/>
      <c r="E26" s="42">
        <v>-866</v>
      </c>
      <c r="F26" s="4"/>
      <c r="G26" s="2"/>
      <c r="H26" s="2" t="s">
        <v>38</v>
      </c>
      <c r="I26" s="2" t="s">
        <v>108</v>
      </c>
      <c r="J26" s="15">
        <v>10080000</v>
      </c>
      <c r="K26" s="15"/>
      <c r="L26" s="15">
        <v>10080000</v>
      </c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ht="16.5" thickTop="1" x14ac:dyDescent="0.25">
      <c r="A27" s="16" t="s">
        <v>41</v>
      </c>
      <c r="B27" s="16"/>
      <c r="C27" s="33">
        <f>SUM(C14:C26)</f>
        <v>-102749</v>
      </c>
      <c r="D27" s="33"/>
      <c r="E27" s="16">
        <f>SUM(E14:E26)</f>
        <v>-61928</v>
      </c>
      <c r="F27" s="4"/>
      <c r="G27" s="2"/>
      <c r="H27" s="17" t="s">
        <v>40</v>
      </c>
      <c r="I27" s="17"/>
      <c r="J27" s="16">
        <v>10080000</v>
      </c>
      <c r="K27" s="16"/>
      <c r="L27" s="16">
        <f>+L26</f>
        <v>10080000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x14ac:dyDescent="0.25">
      <c r="A28" s="23"/>
      <c r="B28" s="23"/>
      <c r="C28" s="36"/>
      <c r="D28" s="36"/>
      <c r="E28" s="23"/>
      <c r="F28" s="18"/>
      <c r="L28" s="4"/>
      <c r="M28" s="4"/>
    </row>
    <row r="29" spans="1:26" s="25" customFormat="1" x14ac:dyDescent="0.25">
      <c r="A29" s="38" t="s">
        <v>62</v>
      </c>
      <c r="B29" s="38"/>
      <c r="C29" s="39">
        <v>-3040</v>
      </c>
      <c r="D29" s="39"/>
      <c r="E29" s="39">
        <v>-3025</v>
      </c>
      <c r="F29" s="18"/>
      <c r="J29" s="37"/>
      <c r="K29" s="37"/>
      <c r="L29" s="37"/>
      <c r="M29" s="37"/>
    </row>
    <row r="30" spans="1:26" s="41" customFormat="1" x14ac:dyDescent="0.25">
      <c r="A30" s="14"/>
      <c r="B30" s="14"/>
      <c r="C30" s="35"/>
      <c r="D30" s="28"/>
      <c r="E30" s="22"/>
      <c r="F30" s="18"/>
      <c r="G30" s="25"/>
      <c r="H30" s="25"/>
      <c r="I30" s="25"/>
      <c r="J30" s="37"/>
      <c r="K30" s="37"/>
      <c r="L30" s="37"/>
      <c r="M30" s="40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5">
      <c r="A31" s="9" t="s">
        <v>43</v>
      </c>
      <c r="B31" s="9"/>
      <c r="C31" s="10"/>
      <c r="D31" s="10"/>
      <c r="E31" s="13"/>
      <c r="F31" s="4"/>
      <c r="H31" s="11" t="s">
        <v>42</v>
      </c>
      <c r="I31" s="11"/>
      <c r="J31" s="9"/>
      <c r="K31" s="9"/>
      <c r="L31" s="13"/>
      <c r="M31" s="13"/>
    </row>
    <row r="32" spans="1:26" ht="16.5" thickBot="1" x14ac:dyDescent="0.3">
      <c r="A32" s="2" t="s">
        <v>45</v>
      </c>
      <c r="C32" s="42">
        <v>1269</v>
      </c>
      <c r="E32" s="42">
        <v>2638</v>
      </c>
      <c r="F32" s="4"/>
      <c r="H32" s="2" t="s">
        <v>44</v>
      </c>
      <c r="J32" s="4">
        <v>41859</v>
      </c>
      <c r="L32" s="4">
        <v>10872</v>
      </c>
      <c r="M32" s="4"/>
    </row>
    <row r="33" spans="1:17" ht="17.25" thickTop="1" thickBot="1" x14ac:dyDescent="0.3">
      <c r="A33" s="16" t="s">
        <v>47</v>
      </c>
      <c r="B33" s="16"/>
      <c r="C33" s="33">
        <f>+C32</f>
        <v>1269</v>
      </c>
      <c r="D33" s="33"/>
      <c r="E33" s="16">
        <f>+E32</f>
        <v>2638</v>
      </c>
      <c r="F33" s="4"/>
      <c r="H33" s="2" t="s">
        <v>46</v>
      </c>
      <c r="J33" s="15">
        <v>-13668</v>
      </c>
      <c r="K33" s="15"/>
      <c r="L33" s="15">
        <v>30987</v>
      </c>
      <c r="M33" s="4"/>
    </row>
    <row r="34" spans="1:17" ht="16.5" thickTop="1" x14ac:dyDescent="0.25">
      <c r="E34" s="4"/>
      <c r="F34" s="4"/>
      <c r="H34" s="17" t="s">
        <v>48</v>
      </c>
      <c r="I34" s="17"/>
      <c r="J34" s="16">
        <f>SUM(J32:J33)</f>
        <v>28191</v>
      </c>
      <c r="K34" s="16"/>
      <c r="L34" s="16">
        <f>SUM(L32:L33)</f>
        <v>41859</v>
      </c>
      <c r="M34" s="16"/>
    </row>
    <row r="35" spans="1:17" x14ac:dyDescent="0.25">
      <c r="A35" s="9" t="s">
        <v>49</v>
      </c>
      <c r="B35" s="9"/>
      <c r="C35" s="10"/>
      <c r="D35" s="10"/>
      <c r="E35" s="13"/>
      <c r="F35" s="4"/>
      <c r="H35" s="19"/>
      <c r="I35" s="19"/>
      <c r="J35" s="18"/>
      <c r="K35" s="18"/>
      <c r="L35" s="18"/>
      <c r="M35" s="18"/>
    </row>
    <row r="36" spans="1:17" ht="16.5" thickBot="1" x14ac:dyDescent="0.3">
      <c r="A36" s="2" t="s">
        <v>53</v>
      </c>
      <c r="C36" s="42">
        <v>-48168</v>
      </c>
      <c r="E36" s="42">
        <v>-45718</v>
      </c>
      <c r="F36" s="4"/>
      <c r="H36" s="11" t="s">
        <v>50</v>
      </c>
      <c r="I36" s="11"/>
      <c r="J36" s="9"/>
      <c r="K36" s="9"/>
      <c r="L36" s="13"/>
      <c r="M36" s="13"/>
    </row>
    <row r="37" spans="1:17" ht="16.5" thickTop="1" x14ac:dyDescent="0.25">
      <c r="A37" s="17" t="s">
        <v>55</v>
      </c>
      <c r="B37" s="17"/>
      <c r="C37" s="33">
        <f>+C36</f>
        <v>-48168</v>
      </c>
      <c r="D37" s="34"/>
      <c r="E37" s="16">
        <f>SUM(E36:E36)</f>
        <v>-45718</v>
      </c>
      <c r="F37" s="4"/>
      <c r="H37" s="2" t="s">
        <v>52</v>
      </c>
      <c r="J37" s="4">
        <v>0</v>
      </c>
      <c r="L37" s="4">
        <v>0</v>
      </c>
      <c r="M37" s="4"/>
    </row>
    <row r="38" spans="1:17" x14ac:dyDescent="0.25">
      <c r="E38" s="4"/>
      <c r="F38" s="4"/>
      <c r="H38" s="2" t="s">
        <v>54</v>
      </c>
      <c r="I38" s="2" t="s">
        <v>100</v>
      </c>
      <c r="J38" s="44">
        <v>25065</v>
      </c>
      <c r="L38" s="44">
        <v>25268</v>
      </c>
      <c r="M38" s="4"/>
    </row>
    <row r="39" spans="1:17" x14ac:dyDescent="0.25">
      <c r="A39" s="19" t="s">
        <v>57</v>
      </c>
      <c r="B39" s="19"/>
      <c r="C39" s="32">
        <v>0</v>
      </c>
      <c r="E39" s="32">
        <v>0</v>
      </c>
      <c r="F39" s="4"/>
      <c r="H39" s="17" t="s">
        <v>56</v>
      </c>
      <c r="I39" s="17"/>
      <c r="J39" s="16">
        <f t="shared" ref="J39" si="1">SUM(J37:J38)</f>
        <v>25065</v>
      </c>
      <c r="K39" s="16"/>
      <c r="L39" s="16">
        <f>SUM(L37:L38)</f>
        <v>25268</v>
      </c>
      <c r="M39" s="16"/>
    </row>
    <row r="40" spans="1:17" x14ac:dyDescent="0.25">
      <c r="E40" s="4"/>
      <c r="F40" s="4"/>
    </row>
    <row r="41" spans="1:17" ht="18.75" x14ac:dyDescent="0.3">
      <c r="A41" s="20" t="s">
        <v>46</v>
      </c>
      <c r="B41" s="20"/>
      <c r="C41" s="16">
        <f>+C39+C37+C32+C29+C27+C9</f>
        <v>-13668</v>
      </c>
      <c r="D41" s="16"/>
      <c r="E41" s="16">
        <f>+E39+E37+E32+E29+E27+E9</f>
        <v>30987</v>
      </c>
      <c r="F41" s="4"/>
      <c r="L41" s="4"/>
      <c r="M41" s="4"/>
    </row>
    <row r="42" spans="1:17" x14ac:dyDescent="0.25">
      <c r="F42" s="4"/>
      <c r="Q42" s="22"/>
    </row>
    <row r="43" spans="1:17" ht="18.75" x14ac:dyDescent="0.3">
      <c r="F43" s="18"/>
      <c r="H43" s="20" t="s">
        <v>58</v>
      </c>
      <c r="I43" s="20"/>
      <c r="J43" s="16">
        <f>J27+J34+J39</f>
        <v>10133256</v>
      </c>
      <c r="K43" s="16"/>
      <c r="L43" s="16">
        <f>+L39+L34+L27</f>
        <v>10147127</v>
      </c>
      <c r="M43" s="21"/>
    </row>
    <row r="44" spans="1:17" x14ac:dyDescent="0.25">
      <c r="N44" s="14"/>
    </row>
    <row r="45" spans="1:17" x14ac:dyDescent="0.25">
      <c r="J45" s="2">
        <f t="shared" ref="J45" si="2">+J19-J43</f>
        <v>0</v>
      </c>
      <c r="K45" s="2"/>
      <c r="L45" s="2">
        <f>+L19-L43</f>
        <v>0</v>
      </c>
    </row>
    <row r="48" spans="1:17" x14ac:dyDescent="0.25">
      <c r="A48" s="14"/>
      <c r="B48" s="14"/>
      <c r="D48" s="28"/>
      <c r="E48" s="14"/>
      <c r="G48" s="14"/>
    </row>
    <row r="49" spans="1:7" x14ac:dyDescent="0.25">
      <c r="A49" s="14"/>
      <c r="B49" s="14"/>
      <c r="D49" s="28"/>
      <c r="E49" s="14"/>
      <c r="G49" s="14"/>
    </row>
    <row r="50" spans="1:7" x14ac:dyDescent="0.25">
      <c r="A50" s="14"/>
      <c r="B50" s="14"/>
      <c r="D50" s="28"/>
      <c r="E50" s="14"/>
      <c r="F50" s="14"/>
      <c r="G50" s="14"/>
    </row>
    <row r="51" spans="1:7" x14ac:dyDescent="0.25">
      <c r="A51" s="14"/>
      <c r="B51" s="14"/>
      <c r="D51" s="28"/>
      <c r="E51" s="14"/>
      <c r="F51" s="14"/>
      <c r="G51" s="14"/>
    </row>
    <row r="52" spans="1:7" x14ac:dyDescent="0.25">
      <c r="F52" s="14"/>
    </row>
    <row r="53" spans="1:7" x14ac:dyDescent="0.25">
      <c r="F53" s="14"/>
    </row>
  </sheetData>
  <pageMargins left="0.7" right="0.7" top="0.75" bottom="0.75" header="0.3" footer="0.3"/>
  <pageSetup paperSize="9" scale="80" orientation="portrait" horizontalDpi="4294967293" r:id="rId1"/>
  <colBreaks count="2" manualBreakCount="2">
    <brk id="7" max="44" man="1"/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6"/>
  <sheetViews>
    <sheetView topLeftCell="A2" workbookViewId="0">
      <selection activeCell="J13" sqref="J13:O28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  <col min="17" max="22" width="0" hidden="1" customWidth="1"/>
  </cols>
  <sheetData>
    <row r="1" spans="1:21" ht="21" x14ac:dyDescent="0.35">
      <c r="A1" s="45" t="s">
        <v>118</v>
      </c>
    </row>
    <row r="2" spans="1:21" x14ac:dyDescent="0.25">
      <c r="A2" s="46" t="s">
        <v>63</v>
      </c>
      <c r="B2" s="18" t="s">
        <v>64</v>
      </c>
    </row>
    <row r="3" spans="1:21" x14ac:dyDescent="0.25">
      <c r="B3" s="223" t="s">
        <v>65</v>
      </c>
      <c r="C3" s="223"/>
      <c r="D3" s="223"/>
      <c r="E3" s="223"/>
      <c r="F3" s="223"/>
      <c r="G3" s="223"/>
      <c r="H3" s="47"/>
    </row>
    <row r="4" spans="1:21" x14ac:dyDescent="0.25">
      <c r="B4" s="224"/>
      <c r="C4" s="224"/>
      <c r="D4" s="224"/>
      <c r="E4" s="224"/>
      <c r="F4" s="224"/>
      <c r="G4" s="224"/>
    </row>
    <row r="5" spans="1:21" ht="16.5" thickBot="1" x14ac:dyDescent="0.3">
      <c r="A5" s="46" t="s">
        <v>66</v>
      </c>
      <c r="B5" s="46" t="s">
        <v>67</v>
      </c>
      <c r="F5" s="48"/>
    </row>
    <row r="6" spans="1:21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25" t="s">
        <v>70</v>
      </c>
      <c r="Q6" s="73" t="s">
        <v>80</v>
      </c>
      <c r="R6" s="74"/>
      <c r="S6" s="74"/>
      <c r="T6" s="74"/>
      <c r="U6" s="75"/>
    </row>
    <row r="7" spans="1:21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26"/>
      <c r="Q7" s="76" t="s">
        <v>81</v>
      </c>
      <c r="R7" s="77"/>
      <c r="S7" s="78"/>
    </row>
    <row r="8" spans="1:21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  <c r="Q8" s="79" t="s">
        <v>83</v>
      </c>
      <c r="R8" s="80" t="s">
        <v>84</v>
      </c>
      <c r="S8" s="80" t="s">
        <v>85</v>
      </c>
    </row>
    <row r="9" spans="1:21" ht="16.5" thickBot="1" x14ac:dyDescent="0.3">
      <c r="B9" s="14" t="s">
        <v>121</v>
      </c>
      <c r="C9" s="49"/>
      <c r="D9" s="49"/>
      <c r="E9" s="49"/>
      <c r="F9" s="49"/>
      <c r="G9" s="14">
        <v>367500</v>
      </c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+G11*0.0015</f>
        <v>7128</v>
      </c>
      <c r="Q9" s="83">
        <f>-(T17*G8+T18*G7)</f>
        <v>-173768.22999999998</v>
      </c>
      <c r="R9" s="84">
        <f>-(T17*G8+T19*G7)</f>
        <v>-88401.14</v>
      </c>
      <c r="S9" s="84">
        <f>-(T17*G8+T20*G7)</f>
        <v>-45717.595000000001</v>
      </c>
    </row>
    <row r="10" spans="1:21" x14ac:dyDescent="0.25">
      <c r="H10" s="14"/>
    </row>
    <row r="11" spans="1:21" x14ac:dyDescent="0.25">
      <c r="B11" s="14" t="s">
        <v>79</v>
      </c>
      <c r="C11" s="49"/>
      <c r="D11" s="49"/>
      <c r="E11" s="49"/>
      <c r="F11" s="49"/>
      <c r="G11" s="14">
        <v>4752000</v>
      </c>
      <c r="H11" s="28"/>
    </row>
    <row r="12" spans="1:21" x14ac:dyDescent="0.25">
      <c r="B12" s="70" t="s">
        <v>114</v>
      </c>
      <c r="C12" s="49"/>
      <c r="D12" s="49"/>
      <c r="E12" s="49"/>
      <c r="F12" s="49"/>
      <c r="G12" s="14">
        <v>4027000</v>
      </c>
      <c r="H12" s="14"/>
      <c r="I12" s="2"/>
    </row>
    <row r="13" spans="1:21" x14ac:dyDescent="0.25">
      <c r="B13" s="71"/>
      <c r="F13" s="2"/>
      <c r="G13" s="2"/>
      <c r="H13" s="14"/>
      <c r="J13" s="73" t="s">
        <v>80</v>
      </c>
      <c r="K13" s="74"/>
      <c r="L13" s="74"/>
      <c r="M13" s="74"/>
      <c r="N13" s="75"/>
    </row>
    <row r="14" spans="1:21" x14ac:dyDescent="0.25">
      <c r="B14" s="18" t="s">
        <v>49</v>
      </c>
      <c r="F14" s="72" t="s">
        <v>123</v>
      </c>
      <c r="G14" s="72" t="s">
        <v>122</v>
      </c>
      <c r="H14" s="14"/>
      <c r="J14" s="76" t="s">
        <v>81</v>
      </c>
      <c r="K14" s="77"/>
      <c r="L14" s="78"/>
    </row>
    <row r="15" spans="1:21" x14ac:dyDescent="0.25">
      <c r="B15" s="14" t="s">
        <v>71</v>
      </c>
      <c r="C15" s="49"/>
      <c r="D15" s="49"/>
      <c r="E15" s="49"/>
      <c r="F15" s="14">
        <v>8964890</v>
      </c>
      <c r="G15" s="14">
        <v>8597390</v>
      </c>
      <c r="H15" s="14"/>
      <c r="J15" s="79" t="s">
        <v>83</v>
      </c>
      <c r="K15" s="80" t="s">
        <v>84</v>
      </c>
      <c r="L15" s="80" t="s">
        <v>85</v>
      </c>
    </row>
    <row r="16" spans="1:21" x14ac:dyDescent="0.25">
      <c r="B16" s="14" t="s">
        <v>82</v>
      </c>
      <c r="C16" s="49"/>
      <c r="D16" s="49"/>
      <c r="E16" s="49"/>
      <c r="F16" s="14">
        <v>-353607</v>
      </c>
      <c r="G16" s="14">
        <v>-262171</v>
      </c>
      <c r="J16" s="83">
        <f>-(M24*G8+M26*G7)</f>
        <v>-173768.22999999998</v>
      </c>
      <c r="K16" s="84">
        <f>-(M24*G8+M27*G7)</f>
        <v>-88401.14</v>
      </c>
      <c r="L16" s="84">
        <f>-(M24*G8+M28*G7+G9*M25/12*2)</f>
        <v>-48167.595000000001</v>
      </c>
      <c r="Q16" s="58" t="s">
        <v>90</v>
      </c>
      <c r="R16" s="88"/>
      <c r="S16" s="59" t="s">
        <v>91</v>
      </c>
      <c r="T16" s="89" t="s">
        <v>92</v>
      </c>
    </row>
    <row r="17" spans="1:20" ht="16.5" thickBot="1" x14ac:dyDescent="0.3">
      <c r="B17" s="14" t="s">
        <v>86</v>
      </c>
      <c r="C17" s="49"/>
      <c r="D17" s="49"/>
      <c r="E17" s="49"/>
      <c r="F17" s="81">
        <v>-48168</v>
      </c>
      <c r="G17" s="81">
        <v>-45718</v>
      </c>
      <c r="Q17" s="90" t="s">
        <v>93</v>
      </c>
      <c r="R17" s="90"/>
      <c r="S17" s="90">
        <v>20</v>
      </c>
      <c r="T17" s="91">
        <f>1/S17</f>
        <v>0.05</v>
      </c>
    </row>
    <row r="18" spans="1:20" ht="16.5" thickTop="1" x14ac:dyDescent="0.25">
      <c r="B18" s="2"/>
      <c r="E18" s="85" t="s">
        <v>87</v>
      </c>
      <c r="F18" s="86">
        <f>SUM(F15:F17)</f>
        <v>8563115</v>
      </c>
      <c r="G18" s="86">
        <f>SUM(G15:G17)</f>
        <v>8289501</v>
      </c>
      <c r="H18" s="47"/>
      <c r="Q18" s="90" t="s">
        <v>96</v>
      </c>
      <c r="R18" s="90"/>
      <c r="S18" s="90">
        <v>50</v>
      </c>
      <c r="T18" s="92">
        <f>1/S18</f>
        <v>0.02</v>
      </c>
    </row>
    <row r="19" spans="1:20" x14ac:dyDescent="0.25">
      <c r="B19" s="14"/>
      <c r="D19" s="14"/>
      <c r="E19" s="14"/>
      <c r="F19" s="14"/>
      <c r="G19" s="14"/>
      <c r="Q19" s="90" t="s">
        <v>96</v>
      </c>
      <c r="R19" s="90"/>
      <c r="S19" s="90">
        <v>100</v>
      </c>
      <c r="T19" s="92">
        <f>1/S19</f>
        <v>0.01</v>
      </c>
    </row>
    <row r="20" spans="1:20" x14ac:dyDescent="0.25">
      <c r="A20" s="46" t="s">
        <v>88</v>
      </c>
      <c r="B20" s="18" t="s">
        <v>14</v>
      </c>
      <c r="F20" s="87"/>
      <c r="G20" s="87"/>
      <c r="Q20" s="90" t="s">
        <v>96</v>
      </c>
      <c r="R20" s="90"/>
      <c r="S20" s="90">
        <v>200</v>
      </c>
      <c r="T20" s="92">
        <f>1/S20</f>
        <v>5.0000000000000001E-3</v>
      </c>
    </row>
    <row r="21" spans="1:20" x14ac:dyDescent="0.25">
      <c r="B21" s="227" t="s">
        <v>89</v>
      </c>
      <c r="C21" s="228"/>
      <c r="D21" s="228"/>
      <c r="E21" s="228"/>
      <c r="F21" s="14">
        <f>+G6-G7</f>
        <v>1542051</v>
      </c>
      <c r="G21" s="14">
        <v>1542051</v>
      </c>
    </row>
    <row r="22" spans="1:20" x14ac:dyDescent="0.25">
      <c r="B22" s="94"/>
      <c r="C22" s="95"/>
      <c r="D22" s="95"/>
      <c r="E22" s="95"/>
      <c r="F22" s="14"/>
      <c r="G22" s="14"/>
    </row>
    <row r="23" spans="1:20" x14ac:dyDescent="0.25">
      <c r="A23" s="46" t="s">
        <v>94</v>
      </c>
      <c r="B23" s="96" t="s">
        <v>116</v>
      </c>
      <c r="C23" s="95"/>
      <c r="D23" s="95"/>
      <c r="E23" s="95"/>
      <c r="F23" s="14">
        <v>0</v>
      </c>
      <c r="G23" s="14">
        <v>5462</v>
      </c>
      <c r="J23" s="58" t="s">
        <v>90</v>
      </c>
      <c r="K23" s="88"/>
      <c r="L23" s="59" t="s">
        <v>91</v>
      </c>
      <c r="M23" s="89" t="s">
        <v>92</v>
      </c>
    </row>
    <row r="24" spans="1:20" x14ac:dyDescent="0.25">
      <c r="B24" s="49"/>
      <c r="C24" s="49"/>
      <c r="D24" s="49"/>
      <c r="J24" s="90" t="s">
        <v>93</v>
      </c>
      <c r="K24" s="90"/>
      <c r="L24" s="90">
        <v>20</v>
      </c>
      <c r="M24" s="92">
        <f>1/L24</f>
        <v>0.05</v>
      </c>
    </row>
    <row r="25" spans="1:20" x14ac:dyDescent="0.25">
      <c r="J25" s="97" t="s">
        <v>128</v>
      </c>
      <c r="K25" s="98"/>
      <c r="L25" s="99">
        <v>25</v>
      </c>
      <c r="M25" s="92">
        <v>0.04</v>
      </c>
      <c r="N25" t="s">
        <v>129</v>
      </c>
    </row>
    <row r="26" spans="1:20" x14ac:dyDescent="0.25">
      <c r="A26" s="46" t="s">
        <v>100</v>
      </c>
      <c r="B26" s="46" t="s">
        <v>95</v>
      </c>
      <c r="J26" s="90" t="s">
        <v>96</v>
      </c>
      <c r="K26" s="90"/>
      <c r="L26" s="90">
        <v>50</v>
      </c>
      <c r="M26" s="92">
        <f>1/L26</f>
        <v>0.02</v>
      </c>
    </row>
    <row r="27" spans="1:20" x14ac:dyDescent="0.25">
      <c r="B27" s="49" t="s">
        <v>97</v>
      </c>
      <c r="C27" s="49"/>
      <c r="D27" s="49"/>
      <c r="E27" s="49"/>
      <c r="F27" s="14">
        <v>11585</v>
      </c>
      <c r="G27" s="14">
        <v>11585</v>
      </c>
      <c r="J27" s="90" t="s">
        <v>96</v>
      </c>
      <c r="K27" s="90"/>
      <c r="L27" s="90">
        <v>100</v>
      </c>
      <c r="M27" s="92">
        <f>1/L27</f>
        <v>0.01</v>
      </c>
    </row>
    <row r="28" spans="1:20" ht="16.5" thickBot="1" x14ac:dyDescent="0.3">
      <c r="B28" s="49" t="s">
        <v>98</v>
      </c>
      <c r="C28" s="49"/>
      <c r="D28" s="49"/>
      <c r="E28" s="49"/>
      <c r="F28" s="81">
        <v>13480</v>
      </c>
      <c r="G28" s="81">
        <v>13683</v>
      </c>
      <c r="J28" s="90" t="s">
        <v>96</v>
      </c>
      <c r="K28" s="90"/>
      <c r="L28" s="90">
        <v>200</v>
      </c>
      <c r="M28" s="92">
        <f>1/L28</f>
        <v>5.0000000000000001E-3</v>
      </c>
    </row>
    <row r="29" spans="1:20" ht="16.5" thickTop="1" x14ac:dyDescent="0.25">
      <c r="E29" s="85" t="s">
        <v>99</v>
      </c>
      <c r="F29" s="86">
        <f>SUM(F27:F28)</f>
        <v>25065</v>
      </c>
      <c r="G29" s="86">
        <f>SUM(G27:G28)</f>
        <v>25268</v>
      </c>
    </row>
    <row r="31" spans="1:20" x14ac:dyDescent="0.25">
      <c r="A31" s="46" t="s">
        <v>104</v>
      </c>
      <c r="B31" s="46" t="s">
        <v>105</v>
      </c>
      <c r="F31" s="87"/>
      <c r="G31" s="87"/>
    </row>
    <row r="32" spans="1:20" x14ac:dyDescent="0.25">
      <c r="B32" s="49" t="s">
        <v>125</v>
      </c>
      <c r="C32" s="49"/>
      <c r="D32" s="49"/>
      <c r="E32" s="49"/>
      <c r="F32" s="14">
        <v>0</v>
      </c>
      <c r="G32" s="14">
        <v>-22201</v>
      </c>
    </row>
    <row r="33" spans="1:7" x14ac:dyDescent="0.25">
      <c r="B33" s="49" t="s">
        <v>126</v>
      </c>
      <c r="C33" s="49"/>
      <c r="D33" s="49"/>
      <c r="E33" s="49"/>
      <c r="F33" s="2"/>
    </row>
    <row r="34" spans="1:7" x14ac:dyDescent="0.25">
      <c r="B34" s="49"/>
      <c r="C34" s="49"/>
      <c r="D34" s="49"/>
      <c r="E34" s="49"/>
      <c r="F34" s="2"/>
    </row>
    <row r="35" spans="1:7" x14ac:dyDescent="0.25">
      <c r="A35" s="46" t="s">
        <v>108</v>
      </c>
      <c r="B35" s="46" t="s">
        <v>38</v>
      </c>
      <c r="F35" s="87"/>
      <c r="G35" s="87"/>
    </row>
    <row r="36" spans="1:7" x14ac:dyDescent="0.25">
      <c r="B36" s="49" t="s">
        <v>112</v>
      </c>
      <c r="C36" s="49"/>
      <c r="D36" s="49"/>
      <c r="E36" s="49"/>
      <c r="F36" s="14">
        <v>10080000</v>
      </c>
      <c r="G36" s="14">
        <v>10080000</v>
      </c>
    </row>
  </sheetData>
  <mergeCells count="3">
    <mergeCell ref="B3:G4"/>
    <mergeCell ref="O6:O7"/>
    <mergeCell ref="B21:E21"/>
  </mergeCell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3"/>
  <sheetViews>
    <sheetView workbookViewId="0">
      <selection activeCell="I26" sqref="I26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4</v>
      </c>
      <c r="B4" s="4"/>
      <c r="H4" s="5" t="s">
        <v>5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61</v>
      </c>
      <c r="D7" s="10"/>
      <c r="E7" s="10" t="s">
        <v>9</v>
      </c>
      <c r="F7" s="10"/>
      <c r="H7" s="11" t="s">
        <v>10</v>
      </c>
      <c r="I7" s="11"/>
      <c r="J7" s="26" t="s">
        <v>59</v>
      </c>
      <c r="K7" s="26"/>
      <c r="L7" s="12">
        <v>41639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4">
        <v>139020</v>
      </c>
      <c r="F8" s="4"/>
      <c r="G8" s="2"/>
      <c r="H8" s="2" t="s">
        <v>12</v>
      </c>
      <c r="I8" s="2" t="s">
        <v>66</v>
      </c>
      <c r="J8" s="4">
        <v>8243783</v>
      </c>
      <c r="K8" s="4"/>
      <c r="L8" s="4">
        <v>8289502</v>
      </c>
      <c r="M8" s="4"/>
      <c r="N8" s="2"/>
    </row>
    <row r="9" spans="1:23" s="14" customFormat="1" ht="16.5" thickBot="1" x14ac:dyDescent="0.3">
      <c r="A9" s="2" t="s">
        <v>13</v>
      </c>
      <c r="B9" s="2" t="s">
        <v>104</v>
      </c>
      <c r="C9" s="42">
        <v>0</v>
      </c>
      <c r="D9" s="28"/>
      <c r="E9" s="15">
        <f>+[1]Noter!F29</f>
        <v>11675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f>+[1]Noter!F20</f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16" t="s">
        <v>15</v>
      </c>
      <c r="B10" s="16"/>
      <c r="C10" s="33">
        <v>139020</v>
      </c>
      <c r="D10" s="29"/>
      <c r="E10" s="16">
        <f>SUM(E8:E9)</f>
        <v>150695</v>
      </c>
      <c r="F10" s="16"/>
      <c r="H10" s="17" t="s">
        <v>16</v>
      </c>
      <c r="I10" s="17"/>
      <c r="J10" s="16">
        <f>J8+J9</f>
        <v>9785834</v>
      </c>
      <c r="K10" s="16"/>
      <c r="L10" s="16">
        <f>SUM(L8:L9)</f>
        <v>9831553</v>
      </c>
      <c r="M10" s="16"/>
    </row>
    <row r="11" spans="1:23" s="25" customFormat="1" x14ac:dyDescent="0.25">
      <c r="A11" s="23"/>
      <c r="B11" s="23"/>
      <c r="C11" s="36"/>
      <c r="D11" s="30"/>
      <c r="E11" s="23"/>
      <c r="F11" s="23"/>
      <c r="H11" s="24"/>
      <c r="I11" s="24"/>
      <c r="J11" s="23"/>
      <c r="K11" s="23"/>
      <c r="L11" s="23"/>
      <c r="M11" s="23"/>
    </row>
    <row r="12" spans="1:23" x14ac:dyDescent="0.25">
      <c r="A12" s="18"/>
      <c r="B12" s="18"/>
      <c r="C12" s="32"/>
      <c r="D12" s="31"/>
      <c r="E12" s="18"/>
      <c r="F12" s="18"/>
      <c r="H12" s="43" t="s">
        <v>60</v>
      </c>
      <c r="I12" s="41" t="s">
        <v>94</v>
      </c>
      <c r="J12" s="38">
        <v>5462</v>
      </c>
      <c r="K12" s="38"/>
      <c r="L12" s="38"/>
      <c r="M12" s="38"/>
    </row>
    <row r="13" spans="1:23" s="14" customFormat="1" ht="18.75" x14ac:dyDescent="0.3">
      <c r="A13" s="7" t="s">
        <v>17</v>
      </c>
      <c r="B13" s="7"/>
      <c r="C13" s="32"/>
      <c r="D13" s="27"/>
      <c r="E13" s="4"/>
      <c r="F13" s="4"/>
      <c r="G13" s="2"/>
      <c r="H13" s="19"/>
      <c r="I13" s="19"/>
      <c r="J13" s="18"/>
      <c r="K13" s="18"/>
      <c r="L13" s="18"/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9" t="s">
        <v>18</v>
      </c>
      <c r="B14" s="9"/>
      <c r="C14" s="10"/>
      <c r="D14" s="10"/>
      <c r="E14" s="13"/>
      <c r="F14" s="13"/>
      <c r="G14" s="2"/>
      <c r="H14" s="11" t="s">
        <v>19</v>
      </c>
      <c r="I14" s="11"/>
      <c r="J14" s="9"/>
      <c r="K14" s="9"/>
      <c r="L14" s="13"/>
      <c r="M14" s="13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20</v>
      </c>
      <c r="B15" s="2"/>
      <c r="C15" s="35">
        <v>-700</v>
      </c>
      <c r="D15" s="32"/>
      <c r="E15" s="4">
        <v>0</v>
      </c>
      <c r="F15" s="4"/>
      <c r="G15" s="2"/>
      <c r="H15" s="2" t="s">
        <v>21</v>
      </c>
      <c r="I15" s="2"/>
      <c r="J15" s="4">
        <v>199446</v>
      </c>
      <c r="K15" s="4"/>
      <c r="L15" s="4">
        <f>70878+55557</f>
        <v>126435</v>
      </c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22</v>
      </c>
      <c r="B16" s="2" t="s">
        <v>108</v>
      </c>
      <c r="C16" s="35">
        <v>22201</v>
      </c>
      <c r="D16" s="28"/>
      <c r="E16" s="4">
        <f>-[1]Noter!F33</f>
        <v>-22201</v>
      </c>
      <c r="F16" s="4"/>
      <c r="G16" s="2"/>
      <c r="H16" s="2" t="s">
        <v>23</v>
      </c>
      <c r="I16" s="2"/>
      <c r="J16" s="4">
        <v>156384</v>
      </c>
      <c r="K16" s="4"/>
      <c r="L16" s="4">
        <v>154166.95000000001</v>
      </c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x14ac:dyDescent="0.25">
      <c r="A17" s="2" t="s">
        <v>24</v>
      </c>
      <c r="B17" s="2"/>
      <c r="C17" s="35">
        <v>-3969</v>
      </c>
      <c r="D17" s="28"/>
      <c r="E17" s="4">
        <f>-553-321</f>
        <v>-874</v>
      </c>
      <c r="F17" s="4"/>
      <c r="G17" s="2"/>
      <c r="H17" s="17" t="s">
        <v>25</v>
      </c>
      <c r="I17" s="17"/>
      <c r="J17" s="16">
        <f>J15+J16</f>
        <v>355830</v>
      </c>
      <c r="K17" s="16"/>
      <c r="L17" s="16">
        <f>SUM(L15:L16)</f>
        <v>280601.95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x14ac:dyDescent="0.25">
      <c r="A18" s="2" t="s">
        <v>26</v>
      </c>
      <c r="B18" s="2"/>
      <c r="C18" s="35">
        <v>-10284</v>
      </c>
      <c r="D18" s="28"/>
      <c r="E18" s="4">
        <v>-11474</v>
      </c>
      <c r="F18" s="4"/>
      <c r="G18" s="2"/>
      <c r="H18" s="19"/>
      <c r="I18" s="19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ht="18.75" x14ac:dyDescent="0.3">
      <c r="A19" s="2" t="s">
        <v>27</v>
      </c>
      <c r="B19" s="2"/>
      <c r="C19" s="35">
        <v>-8227</v>
      </c>
      <c r="D19" s="28"/>
      <c r="E19" s="4">
        <v>-4965</v>
      </c>
      <c r="F19" s="4"/>
      <c r="G19" s="2"/>
      <c r="H19" s="20" t="s">
        <v>28</v>
      </c>
      <c r="I19" s="20"/>
      <c r="J19" s="16">
        <f>J10+J12+J17</f>
        <v>10147126</v>
      </c>
      <c r="K19" s="16"/>
      <c r="L19" s="16">
        <f>+L17+L10</f>
        <v>10112154.949999999</v>
      </c>
      <c r="M19" s="16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ht="18.75" x14ac:dyDescent="0.3">
      <c r="A20" s="2" t="s">
        <v>29</v>
      </c>
      <c r="B20" s="2"/>
      <c r="C20" s="35">
        <v>-38449</v>
      </c>
      <c r="D20" s="28"/>
      <c r="E20" s="4">
        <v>-41931</v>
      </c>
      <c r="F20" s="4"/>
      <c r="G20" s="2"/>
      <c r="H20" s="7"/>
      <c r="I20" s="7"/>
      <c r="J20" s="18"/>
      <c r="K20" s="18"/>
      <c r="L20" s="18"/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30</v>
      </c>
      <c r="B21" s="2"/>
      <c r="C21" s="35">
        <v>-10333</v>
      </c>
      <c r="D21" s="28"/>
      <c r="E21" s="4">
        <v>-8275.5499999999993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x14ac:dyDescent="0.25">
      <c r="A22" s="2" t="s">
        <v>31</v>
      </c>
      <c r="B22" s="2"/>
      <c r="C22" s="35">
        <v>-5448</v>
      </c>
      <c r="D22" s="28"/>
      <c r="E22" s="4">
        <v>-5328</v>
      </c>
      <c r="F22" s="4"/>
      <c r="G22" s="2"/>
      <c r="J22" s="4"/>
      <c r="K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32</v>
      </c>
      <c r="B23" s="2"/>
      <c r="C23" s="35">
        <v>-778</v>
      </c>
      <c r="D23" s="28"/>
      <c r="E23" s="4">
        <v>-932.43</v>
      </c>
      <c r="F23" s="4"/>
      <c r="G23" s="2"/>
      <c r="J23" s="4"/>
      <c r="K23" s="4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8.75" x14ac:dyDescent="0.3">
      <c r="A24" s="2" t="s">
        <v>33</v>
      </c>
      <c r="B24" s="2" t="s">
        <v>111</v>
      </c>
      <c r="C24" s="35">
        <v>0</v>
      </c>
      <c r="D24" s="28"/>
      <c r="E24" s="4">
        <f>-[1]Noter!F37</f>
        <v>-9884</v>
      </c>
      <c r="F24" s="4"/>
      <c r="G24" s="2"/>
      <c r="H24" s="7" t="s">
        <v>34</v>
      </c>
      <c r="I24" s="7"/>
      <c r="J24" s="18"/>
      <c r="K24" s="18"/>
      <c r="L24" s="4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x14ac:dyDescent="0.25">
      <c r="A25" s="2" t="s">
        <v>35</v>
      </c>
      <c r="B25" s="2"/>
      <c r="C25" s="35">
        <v>-1549</v>
      </c>
      <c r="D25" s="28"/>
      <c r="E25" s="4">
        <v>-4743</v>
      </c>
      <c r="F25" s="4"/>
      <c r="G25" s="2"/>
      <c r="H25" s="11" t="s">
        <v>36</v>
      </c>
      <c r="I25" s="11"/>
      <c r="J25" s="9"/>
      <c r="K25" s="9"/>
      <c r="L25" s="9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ht="16.5" thickBot="1" x14ac:dyDescent="0.3">
      <c r="A26" s="2" t="s">
        <v>37</v>
      </c>
      <c r="B26" s="2"/>
      <c r="C26" s="35">
        <v>-3526</v>
      </c>
      <c r="D26" s="28"/>
      <c r="E26" s="4">
        <f>-1689-800</f>
        <v>-2489</v>
      </c>
      <c r="F26" s="4"/>
      <c r="G26" s="2"/>
      <c r="H26" s="2" t="s">
        <v>38</v>
      </c>
      <c r="I26" s="2" t="s">
        <v>117</v>
      </c>
      <c r="J26" s="15">
        <v>10080000</v>
      </c>
      <c r="K26" s="15"/>
      <c r="L26" s="15">
        <v>10080000</v>
      </c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ht="17.25" thickTop="1" thickBot="1" x14ac:dyDescent="0.3">
      <c r="A27" s="2" t="s">
        <v>39</v>
      </c>
      <c r="B27" s="2"/>
      <c r="C27" s="42">
        <v>-866</v>
      </c>
      <c r="D27" s="28"/>
      <c r="E27" s="15">
        <v>-868</v>
      </c>
      <c r="F27" s="4"/>
      <c r="G27" s="2"/>
      <c r="H27" s="17" t="s">
        <v>40</v>
      </c>
      <c r="I27" s="17"/>
      <c r="J27" s="16">
        <v>10080000</v>
      </c>
      <c r="K27" s="16"/>
      <c r="L27" s="16">
        <f>+L26</f>
        <v>10080000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ht="16.5" thickTop="1" x14ac:dyDescent="0.25">
      <c r="A28" s="16" t="s">
        <v>41</v>
      </c>
      <c r="B28" s="16"/>
      <c r="C28" s="33">
        <f>SUM(C15:C27)</f>
        <v>-61928</v>
      </c>
      <c r="D28" s="33"/>
      <c r="E28" s="16">
        <f>SUM(E15:E27)</f>
        <v>-113964.98</v>
      </c>
      <c r="F28" s="16"/>
      <c r="L28" s="4"/>
      <c r="M28" s="4"/>
    </row>
    <row r="29" spans="1:26" s="25" customFormat="1" x14ac:dyDescent="0.25">
      <c r="A29" s="23"/>
      <c r="B29" s="23"/>
      <c r="C29" s="36"/>
      <c r="D29" s="36"/>
      <c r="E29" s="23"/>
      <c r="F29" s="23"/>
      <c r="J29" s="37"/>
      <c r="K29" s="37"/>
      <c r="L29" s="37"/>
      <c r="M29" s="37"/>
    </row>
    <row r="30" spans="1:26" s="41" customFormat="1" x14ac:dyDescent="0.25">
      <c r="A30" s="38" t="s">
        <v>62</v>
      </c>
      <c r="B30" s="38"/>
      <c r="C30" s="39">
        <v>-3025</v>
      </c>
      <c r="D30" s="39"/>
      <c r="E30" s="38"/>
      <c r="F30" s="38"/>
      <c r="G30" s="25"/>
      <c r="H30" s="25"/>
      <c r="I30" s="25"/>
      <c r="J30" s="37"/>
      <c r="K30" s="37"/>
      <c r="L30" s="37"/>
      <c r="M30" s="40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x14ac:dyDescent="0.25">
      <c r="A31" s="14"/>
      <c r="B31" s="14"/>
      <c r="D31" s="28"/>
      <c r="E31" s="22"/>
      <c r="F31" s="4"/>
      <c r="H31" s="11" t="s">
        <v>42</v>
      </c>
      <c r="I31" s="11"/>
      <c r="J31" s="9"/>
      <c r="K31" s="9"/>
      <c r="L31" s="13"/>
      <c r="M31" s="13"/>
    </row>
    <row r="32" spans="1:26" x14ac:dyDescent="0.25">
      <c r="A32" s="9" t="s">
        <v>43</v>
      </c>
      <c r="B32" s="9"/>
      <c r="C32" s="10"/>
      <c r="D32" s="10"/>
      <c r="E32" s="13"/>
      <c r="F32" s="13"/>
      <c r="H32" s="2" t="s">
        <v>44</v>
      </c>
      <c r="J32" s="4">
        <v>10872</v>
      </c>
      <c r="L32" s="4">
        <v>16659</v>
      </c>
      <c r="M32" s="4"/>
    </row>
    <row r="33" spans="1:17" ht="16.5" thickBot="1" x14ac:dyDescent="0.3">
      <c r="A33" s="2" t="s">
        <v>45</v>
      </c>
      <c r="C33" s="42">
        <v>2638</v>
      </c>
      <c r="E33" s="15">
        <v>3200.07</v>
      </c>
      <c r="F33" s="4"/>
      <c r="H33" s="2" t="s">
        <v>46</v>
      </c>
      <c r="J33" s="15">
        <v>30987</v>
      </c>
      <c r="K33" s="15"/>
      <c r="L33" s="15">
        <v>-5788</v>
      </c>
      <c r="M33" s="4"/>
    </row>
    <row r="34" spans="1:17" ht="16.5" thickTop="1" x14ac:dyDescent="0.25">
      <c r="A34" s="16" t="s">
        <v>47</v>
      </c>
      <c r="B34" s="16"/>
      <c r="C34" s="33">
        <v>2638</v>
      </c>
      <c r="D34" s="33"/>
      <c r="E34" s="16">
        <f>+E33</f>
        <v>3200.07</v>
      </c>
      <c r="F34" s="21"/>
      <c r="H34" s="17" t="s">
        <v>48</v>
      </c>
      <c r="I34" s="17"/>
      <c r="J34" s="16">
        <v>41858</v>
      </c>
      <c r="K34" s="16"/>
      <c r="L34" s="16">
        <v>10872</v>
      </c>
      <c r="M34" s="16"/>
    </row>
    <row r="35" spans="1:17" x14ac:dyDescent="0.25">
      <c r="E35" s="4"/>
      <c r="F35" s="4"/>
      <c r="H35" s="19"/>
      <c r="I35" s="19"/>
      <c r="J35" s="18"/>
      <c r="K35" s="18"/>
      <c r="L35" s="18"/>
      <c r="M35" s="18"/>
    </row>
    <row r="36" spans="1:17" x14ac:dyDescent="0.25">
      <c r="A36" s="9" t="s">
        <v>49</v>
      </c>
      <c r="B36" s="9"/>
      <c r="C36" s="10"/>
      <c r="D36" s="10"/>
      <c r="E36" s="13"/>
      <c r="F36" s="13"/>
      <c r="H36" s="11" t="s">
        <v>50</v>
      </c>
      <c r="I36" s="11"/>
      <c r="J36" s="9"/>
      <c r="K36" s="9"/>
      <c r="L36" s="13"/>
      <c r="M36" s="13"/>
    </row>
    <row r="37" spans="1:17" x14ac:dyDescent="0.25">
      <c r="A37" s="2" t="s">
        <v>51</v>
      </c>
      <c r="C37" s="35">
        <v>0</v>
      </c>
      <c r="E37" s="4">
        <v>0</v>
      </c>
      <c r="F37" s="4"/>
      <c r="H37" s="2" t="s">
        <v>52</v>
      </c>
      <c r="J37" s="4">
        <v>0</v>
      </c>
      <c r="L37" s="4">
        <v>0</v>
      </c>
      <c r="M37" s="4"/>
    </row>
    <row r="38" spans="1:17" ht="16.5" thickBot="1" x14ac:dyDescent="0.3">
      <c r="A38" s="2" t="s">
        <v>53</v>
      </c>
      <c r="C38" s="42">
        <v>-45718</v>
      </c>
      <c r="E38" s="15">
        <v>-45718</v>
      </c>
      <c r="F38" s="4"/>
      <c r="H38" s="2" t="s">
        <v>54</v>
      </c>
      <c r="I38" s="2" t="s">
        <v>100</v>
      </c>
      <c r="J38" s="44">
        <v>25268</v>
      </c>
      <c r="L38" s="4">
        <f>+[1]Noter!F26</f>
        <v>21283</v>
      </c>
      <c r="M38" s="4"/>
    </row>
    <row r="39" spans="1:17" ht="16.5" thickTop="1" x14ac:dyDescent="0.25">
      <c r="A39" s="17" t="s">
        <v>55</v>
      </c>
      <c r="B39" s="17"/>
      <c r="C39" s="33">
        <v>-45718</v>
      </c>
      <c r="D39" s="34"/>
      <c r="E39" s="16">
        <f>SUM(E37:E38)</f>
        <v>-45718</v>
      </c>
      <c r="F39" s="21"/>
      <c r="H39" s="17" t="s">
        <v>56</v>
      </c>
      <c r="I39" s="17"/>
      <c r="J39" s="16">
        <v>25268</v>
      </c>
      <c r="K39" s="16"/>
      <c r="L39" s="16">
        <f>SUM(L37:L38)</f>
        <v>21283</v>
      </c>
      <c r="M39" s="16"/>
    </row>
    <row r="40" spans="1:17" x14ac:dyDescent="0.25">
      <c r="E40" s="4"/>
      <c r="F40" s="4"/>
    </row>
    <row r="41" spans="1:17" x14ac:dyDescent="0.25">
      <c r="A41" s="19" t="s">
        <v>57</v>
      </c>
      <c r="B41" s="19"/>
      <c r="C41" s="32">
        <v>0</v>
      </c>
      <c r="E41" s="4">
        <v>0</v>
      </c>
      <c r="F41" s="4"/>
      <c r="L41" s="4"/>
      <c r="M41" s="4"/>
    </row>
    <row r="42" spans="1:17" x14ac:dyDescent="0.25">
      <c r="E42" s="4"/>
      <c r="F42" s="4"/>
      <c r="Q42" s="22"/>
    </row>
    <row r="43" spans="1:17" ht="18.75" x14ac:dyDescent="0.3">
      <c r="A43" s="20" t="s">
        <v>46</v>
      </c>
      <c r="B43" s="20"/>
      <c r="C43" s="33">
        <v>30987</v>
      </c>
      <c r="D43" s="33"/>
      <c r="E43" s="16">
        <f>+E41+E39+E33+E28+E10</f>
        <v>-5787.9100000000035</v>
      </c>
      <c r="F43" s="16"/>
      <c r="H43" s="20" t="s">
        <v>58</v>
      </c>
      <c r="I43" s="20"/>
      <c r="J43" s="16">
        <f>J27+J34+J39</f>
        <v>10147126</v>
      </c>
      <c r="K43" s="16"/>
      <c r="L43" s="16">
        <f>+L39+L34+L27</f>
        <v>10112155</v>
      </c>
      <c r="M43" s="21"/>
    </row>
    <row r="44" spans="1:17" x14ac:dyDescent="0.25">
      <c r="N44" s="14"/>
    </row>
    <row r="48" spans="1:17" x14ac:dyDescent="0.25">
      <c r="G48" s="14"/>
    </row>
    <row r="49" spans="1:7" x14ac:dyDescent="0.25">
      <c r="G49" s="14"/>
    </row>
    <row r="50" spans="1:7" x14ac:dyDescent="0.25">
      <c r="A50" s="14"/>
      <c r="B50" s="14"/>
      <c r="D50" s="28"/>
      <c r="E50" s="14"/>
      <c r="F50" s="14"/>
      <c r="G50" s="14"/>
    </row>
    <row r="51" spans="1:7" x14ac:dyDescent="0.25">
      <c r="A51" s="14"/>
      <c r="B51" s="14"/>
      <c r="D51" s="28"/>
      <c r="E51" s="14"/>
      <c r="F51" s="14"/>
      <c r="G51" s="14"/>
    </row>
    <row r="52" spans="1:7" x14ac:dyDescent="0.25">
      <c r="A52" s="14"/>
      <c r="B52" s="14"/>
      <c r="D52" s="28"/>
      <c r="E52" s="14"/>
      <c r="F52" s="14"/>
    </row>
    <row r="53" spans="1:7" x14ac:dyDescent="0.25">
      <c r="A53" s="14"/>
      <c r="B53" s="14"/>
      <c r="D53" s="28"/>
      <c r="E53" s="14"/>
      <c r="F53" s="1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2"/>
  <sheetViews>
    <sheetView workbookViewId="0">
      <selection activeCell="J13" sqref="J13:N27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</cols>
  <sheetData>
    <row r="1" spans="1:15" ht="21" x14ac:dyDescent="0.35">
      <c r="A1" s="45" t="s">
        <v>113</v>
      </c>
    </row>
    <row r="2" spans="1:15" x14ac:dyDescent="0.25">
      <c r="A2" s="46" t="s">
        <v>63</v>
      </c>
      <c r="B2" s="18" t="s">
        <v>64</v>
      </c>
    </row>
    <row r="3" spans="1:15" x14ac:dyDescent="0.25">
      <c r="B3" s="223" t="s">
        <v>65</v>
      </c>
      <c r="C3" s="223"/>
      <c r="D3" s="223"/>
      <c r="E3" s="223"/>
      <c r="F3" s="223"/>
      <c r="G3" s="223"/>
      <c r="H3" s="47"/>
    </row>
    <row r="4" spans="1:15" x14ac:dyDescent="0.25">
      <c r="B4" s="224"/>
      <c r="C4" s="224"/>
      <c r="D4" s="224"/>
      <c r="E4" s="224"/>
      <c r="F4" s="224"/>
      <c r="G4" s="224"/>
    </row>
    <row r="5" spans="1:15" ht="16.5" thickBot="1" x14ac:dyDescent="0.3">
      <c r="A5" s="46" t="s">
        <v>66</v>
      </c>
      <c r="B5" s="46" t="s">
        <v>67</v>
      </c>
      <c r="F5" s="48"/>
    </row>
    <row r="6" spans="1:15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25" t="s">
        <v>70</v>
      </c>
    </row>
    <row r="7" spans="1:15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26"/>
    </row>
    <row r="8" spans="1:15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</row>
    <row r="9" spans="1:15" ht="16.5" thickBot="1" x14ac:dyDescent="0.3"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+G10*0.0015</f>
        <v>7128</v>
      </c>
    </row>
    <row r="10" spans="1:15" x14ac:dyDescent="0.25">
      <c r="B10" s="14" t="s">
        <v>79</v>
      </c>
      <c r="C10" s="49"/>
      <c r="D10" s="49"/>
      <c r="E10" s="49"/>
      <c r="F10" s="49"/>
      <c r="G10" s="14">
        <v>4752000</v>
      </c>
      <c r="H10" s="14"/>
    </row>
    <row r="11" spans="1:15" x14ac:dyDescent="0.25">
      <c r="B11" s="70" t="s">
        <v>114</v>
      </c>
      <c r="C11" s="49"/>
      <c r="D11" s="49"/>
      <c r="E11" s="49"/>
      <c r="F11" s="49"/>
      <c r="G11" s="14">
        <v>4027000</v>
      </c>
      <c r="H11" s="28"/>
    </row>
    <row r="12" spans="1:15" x14ac:dyDescent="0.25">
      <c r="B12" s="71"/>
      <c r="F12" s="2"/>
      <c r="G12" s="2"/>
      <c r="H12" s="14"/>
      <c r="I12" s="2"/>
    </row>
    <row r="13" spans="1:15" x14ac:dyDescent="0.25">
      <c r="B13" s="18" t="s">
        <v>49</v>
      </c>
      <c r="F13" s="72">
        <v>42004</v>
      </c>
      <c r="G13" s="72" t="s">
        <v>115</v>
      </c>
      <c r="H13" s="14"/>
      <c r="J13" s="73" t="s">
        <v>80</v>
      </c>
      <c r="K13" s="74"/>
      <c r="L13" s="74"/>
      <c r="M13" s="74"/>
      <c r="N13" s="75"/>
    </row>
    <row r="14" spans="1:15" x14ac:dyDescent="0.25">
      <c r="B14" s="14" t="s">
        <v>71</v>
      </c>
      <c r="C14" s="49"/>
      <c r="D14" s="49"/>
      <c r="E14" s="49"/>
      <c r="F14" s="14">
        <v>8597390</v>
      </c>
      <c r="G14" s="14">
        <v>8597390</v>
      </c>
      <c r="H14" s="14"/>
      <c r="J14" s="76" t="s">
        <v>81</v>
      </c>
      <c r="K14" s="77"/>
      <c r="L14" s="78"/>
    </row>
    <row r="15" spans="1:15" x14ac:dyDescent="0.25">
      <c r="B15" s="14" t="s">
        <v>82</v>
      </c>
      <c r="C15" s="49"/>
      <c r="D15" s="49"/>
      <c r="E15" s="49"/>
      <c r="F15" s="14">
        <f>+G15+G16</f>
        <v>-307889</v>
      </c>
      <c r="G15" s="14">
        <v>-262171</v>
      </c>
      <c r="H15" s="14"/>
      <c r="J15" s="79" t="s">
        <v>83</v>
      </c>
      <c r="K15" s="80" t="s">
        <v>84</v>
      </c>
      <c r="L15" s="80" t="s">
        <v>85</v>
      </c>
    </row>
    <row r="16" spans="1:15" ht="16.5" thickBot="1" x14ac:dyDescent="0.3">
      <c r="B16" s="14" t="s">
        <v>86</v>
      </c>
      <c r="C16" s="49"/>
      <c r="D16" s="49"/>
      <c r="E16" s="49"/>
      <c r="F16" s="81">
        <v>-45718</v>
      </c>
      <c r="G16" s="82">
        <v>-45718</v>
      </c>
      <c r="J16" s="83">
        <f>-(M24*G8+M25*G7)</f>
        <v>-173768.22999999998</v>
      </c>
      <c r="K16" s="84">
        <f>-(M24*G8+M26*G7)</f>
        <v>-88401.14</v>
      </c>
      <c r="L16" s="84">
        <f>-(M24*G8+M27*G7)</f>
        <v>-45717.595000000001</v>
      </c>
    </row>
    <row r="17" spans="1:13" ht="16.5" thickTop="1" x14ac:dyDescent="0.25">
      <c r="B17" s="2"/>
      <c r="E17" s="85" t="s">
        <v>87</v>
      </c>
      <c r="F17" s="86">
        <f>SUM(F14:F16)</f>
        <v>8243783</v>
      </c>
      <c r="G17" s="86">
        <f>SUM(G14:G16)</f>
        <v>8289501</v>
      </c>
    </row>
    <row r="18" spans="1:13" x14ac:dyDescent="0.25">
      <c r="B18" s="14"/>
      <c r="D18" s="14"/>
      <c r="E18" s="14"/>
      <c r="F18" s="14"/>
      <c r="G18" s="14"/>
      <c r="H18" s="47"/>
    </row>
    <row r="19" spans="1:13" x14ac:dyDescent="0.25">
      <c r="A19" s="46" t="s">
        <v>88</v>
      </c>
      <c r="B19" s="18" t="s">
        <v>14</v>
      </c>
      <c r="F19" s="87"/>
      <c r="G19" s="87"/>
    </row>
    <row r="20" spans="1:13" x14ac:dyDescent="0.25">
      <c r="B20" s="227" t="s">
        <v>89</v>
      </c>
      <c r="C20" s="228"/>
      <c r="D20" s="228"/>
      <c r="E20" s="228"/>
      <c r="F20" s="14">
        <f>+G6-G7</f>
        <v>1542051</v>
      </c>
      <c r="G20" s="14">
        <v>1542051</v>
      </c>
    </row>
    <row r="21" spans="1:13" x14ac:dyDescent="0.25">
      <c r="B21" s="94"/>
      <c r="C21" s="95"/>
      <c r="D21" s="95"/>
      <c r="E21" s="95"/>
      <c r="F21" s="14"/>
      <c r="G21" s="14"/>
    </row>
    <row r="22" spans="1:13" x14ac:dyDescent="0.25">
      <c r="A22" s="46" t="s">
        <v>94</v>
      </c>
      <c r="B22" s="96" t="s">
        <v>116</v>
      </c>
      <c r="C22" s="95"/>
      <c r="D22" s="95"/>
      <c r="E22" s="95"/>
      <c r="F22" s="14">
        <v>5462</v>
      </c>
      <c r="G22" s="14"/>
    </row>
    <row r="23" spans="1:13" x14ac:dyDescent="0.25">
      <c r="B23" s="49"/>
      <c r="C23" s="49"/>
      <c r="D23" s="49"/>
      <c r="J23" s="58" t="s">
        <v>90</v>
      </c>
      <c r="K23" s="88"/>
      <c r="L23" s="59" t="s">
        <v>91</v>
      </c>
      <c r="M23" s="89" t="s">
        <v>92</v>
      </c>
    </row>
    <row r="24" spans="1:13" x14ac:dyDescent="0.25">
      <c r="J24" s="90" t="s">
        <v>93</v>
      </c>
      <c r="K24" s="90"/>
      <c r="L24" s="90">
        <v>20</v>
      </c>
      <c r="M24" s="91">
        <f>1/L24</f>
        <v>0.05</v>
      </c>
    </row>
    <row r="25" spans="1:13" x14ac:dyDescent="0.25">
      <c r="A25" s="46" t="s">
        <v>94</v>
      </c>
      <c r="B25" s="46" t="s">
        <v>95</v>
      </c>
      <c r="J25" s="90" t="s">
        <v>96</v>
      </c>
      <c r="K25" s="90"/>
      <c r="L25" s="90">
        <v>50</v>
      </c>
      <c r="M25" s="92">
        <f>1/L25</f>
        <v>0.02</v>
      </c>
    </row>
    <row r="26" spans="1:13" x14ac:dyDescent="0.25">
      <c r="B26" s="49" t="s">
        <v>97</v>
      </c>
      <c r="C26" s="49"/>
      <c r="D26" s="49"/>
      <c r="E26" s="49"/>
      <c r="F26" s="14">
        <v>11585</v>
      </c>
      <c r="G26" s="14">
        <v>11585</v>
      </c>
      <c r="J26" s="90" t="s">
        <v>96</v>
      </c>
      <c r="K26" s="90"/>
      <c r="L26" s="90">
        <v>100</v>
      </c>
      <c r="M26" s="92">
        <f>1/L26</f>
        <v>0.01</v>
      </c>
    </row>
    <row r="27" spans="1:13" ht="16.5" thickBot="1" x14ac:dyDescent="0.3">
      <c r="B27" s="49" t="s">
        <v>98</v>
      </c>
      <c r="C27" s="49"/>
      <c r="D27" s="49"/>
      <c r="E27" s="49"/>
      <c r="F27" s="81">
        <v>13683</v>
      </c>
      <c r="G27" s="81">
        <v>9698</v>
      </c>
      <c r="J27" s="90" t="s">
        <v>96</v>
      </c>
      <c r="K27" s="90"/>
      <c r="L27" s="90">
        <v>200</v>
      </c>
      <c r="M27" s="92">
        <f>1/L27</f>
        <v>5.0000000000000001E-3</v>
      </c>
    </row>
    <row r="28" spans="1:13" ht="16.5" thickTop="1" x14ac:dyDescent="0.25">
      <c r="E28" s="85" t="s">
        <v>99</v>
      </c>
      <c r="F28" s="86">
        <f>SUM(F26:F27)</f>
        <v>25268</v>
      </c>
      <c r="G28" s="86">
        <f>SUM(G26:G27)</f>
        <v>21283</v>
      </c>
    </row>
    <row r="30" spans="1:13" x14ac:dyDescent="0.25">
      <c r="A30" s="46" t="s">
        <v>100</v>
      </c>
      <c r="B30" s="46" t="s">
        <v>101</v>
      </c>
      <c r="F30" s="87"/>
      <c r="G30" s="87"/>
    </row>
    <row r="31" spans="1:13" x14ac:dyDescent="0.25">
      <c r="B31" s="49" t="s">
        <v>102</v>
      </c>
      <c r="C31" s="49"/>
      <c r="D31" s="49"/>
      <c r="E31" s="49"/>
      <c r="F31" s="14">
        <v>0</v>
      </c>
      <c r="G31" s="14">
        <v>11675</v>
      </c>
    </row>
    <row r="32" spans="1:13" x14ac:dyDescent="0.25">
      <c r="B32" s="49" t="s">
        <v>103</v>
      </c>
      <c r="C32" s="49"/>
      <c r="D32" s="49"/>
      <c r="E32" s="49"/>
      <c r="F32" s="93"/>
      <c r="G32" s="93"/>
    </row>
    <row r="34" spans="1:7" x14ac:dyDescent="0.25">
      <c r="A34" s="46" t="s">
        <v>104</v>
      </c>
      <c r="B34" s="46" t="s">
        <v>105</v>
      </c>
      <c r="F34" s="87"/>
      <c r="G34" s="87"/>
    </row>
    <row r="35" spans="1:7" x14ac:dyDescent="0.25">
      <c r="B35" s="49" t="s">
        <v>106</v>
      </c>
      <c r="C35" s="49"/>
      <c r="D35" s="49"/>
      <c r="E35" s="49"/>
      <c r="F35" s="14">
        <v>-22201</v>
      </c>
      <c r="G35" s="14">
        <v>22201</v>
      </c>
    </row>
    <row r="36" spans="1:7" x14ac:dyDescent="0.25">
      <c r="B36" s="49" t="s">
        <v>107</v>
      </c>
      <c r="C36" s="49"/>
      <c r="D36" s="49"/>
      <c r="E36" s="49"/>
      <c r="F36" s="2"/>
    </row>
    <row r="37" spans="1:7" x14ac:dyDescent="0.25">
      <c r="B37" s="49"/>
      <c r="C37" s="49"/>
      <c r="D37" s="49"/>
      <c r="E37" s="49"/>
      <c r="F37" s="2"/>
    </row>
    <row r="38" spans="1:7" x14ac:dyDescent="0.25">
      <c r="A38" s="46" t="s">
        <v>108</v>
      </c>
      <c r="B38" s="46" t="s">
        <v>109</v>
      </c>
      <c r="F38" s="87"/>
      <c r="G38" s="87"/>
    </row>
    <row r="39" spans="1:7" x14ac:dyDescent="0.25">
      <c r="B39" s="49" t="s">
        <v>110</v>
      </c>
      <c r="F39" s="28">
        <v>0</v>
      </c>
      <c r="G39" s="28">
        <v>9884</v>
      </c>
    </row>
    <row r="40" spans="1:7" x14ac:dyDescent="0.25">
      <c r="B40" s="46"/>
      <c r="F40" s="87"/>
      <c r="G40" s="87"/>
    </row>
    <row r="41" spans="1:7" x14ac:dyDescent="0.25">
      <c r="A41" s="46" t="s">
        <v>111</v>
      </c>
      <c r="B41" s="46" t="s">
        <v>38</v>
      </c>
      <c r="F41" s="87"/>
      <c r="G41" s="87"/>
    </row>
    <row r="42" spans="1:7" x14ac:dyDescent="0.25">
      <c r="B42" s="49" t="s">
        <v>112</v>
      </c>
      <c r="C42" s="49"/>
      <c r="D42" s="49"/>
      <c r="E42" s="49"/>
      <c r="F42" s="14">
        <v>10080000</v>
      </c>
      <c r="G42" s="14">
        <v>10080000</v>
      </c>
    </row>
  </sheetData>
  <mergeCells count="3">
    <mergeCell ref="B3:G4"/>
    <mergeCell ref="O6:O7"/>
    <mergeCell ref="B20:E2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X27"/>
  <sheetViews>
    <sheetView workbookViewId="0">
      <selection activeCell="G18" sqref="G18"/>
    </sheetView>
  </sheetViews>
  <sheetFormatPr defaultRowHeight="15" x14ac:dyDescent="0.25"/>
  <cols>
    <col min="3" max="3" width="10" customWidth="1"/>
    <col min="7" max="8" width="11.140625" bestFit="1" customWidth="1"/>
    <col min="9" max="9" width="11.140625" hidden="1" customWidth="1"/>
    <col min="10" max="10" width="11.5703125" hidden="1" customWidth="1"/>
    <col min="11" max="14" width="11.140625" hidden="1" customWidth="1"/>
    <col min="15" max="15" width="11" hidden="1" customWidth="1"/>
    <col min="16" max="16" width="9.140625" customWidth="1"/>
    <col min="19" max="19" width="8.85546875" customWidth="1"/>
  </cols>
  <sheetData>
    <row r="3" spans="1:24" x14ac:dyDescent="0.25">
      <c r="A3" t="s">
        <v>198</v>
      </c>
      <c r="B3" s="174" t="s">
        <v>234</v>
      </c>
    </row>
    <row r="5" spans="1:24" x14ac:dyDescent="0.25">
      <c r="B5" t="s">
        <v>199</v>
      </c>
      <c r="D5" s="19">
        <f>T18</f>
        <v>-60417.595000000001</v>
      </c>
      <c r="E5" s="19"/>
      <c r="F5" s="19"/>
    </row>
    <row r="7" spans="1:24" ht="15.75" x14ac:dyDescent="0.25">
      <c r="B7" s="46" t="s">
        <v>67</v>
      </c>
      <c r="N7" s="48"/>
    </row>
    <row r="8" spans="1:24" x14ac:dyDescent="0.25">
      <c r="B8" s="14" t="s">
        <v>68</v>
      </c>
      <c r="C8" s="49"/>
      <c r="D8" s="49"/>
      <c r="E8" s="49"/>
      <c r="F8" s="49"/>
      <c r="G8" s="14">
        <v>10078760</v>
      </c>
      <c r="H8" s="14">
        <v>10078760</v>
      </c>
      <c r="I8" s="14">
        <v>10078760</v>
      </c>
      <c r="J8" s="14">
        <v>10078760</v>
      </c>
      <c r="K8" s="14">
        <v>10078760</v>
      </c>
      <c r="L8" s="14">
        <v>10078760</v>
      </c>
      <c r="M8" s="14">
        <v>10078760</v>
      </c>
      <c r="N8" s="14">
        <v>10078760</v>
      </c>
      <c r="O8" s="14">
        <v>10078760</v>
      </c>
      <c r="R8" s="145"/>
      <c r="S8" s="145"/>
      <c r="T8" s="145"/>
      <c r="U8" s="145"/>
      <c r="V8" s="145"/>
      <c r="W8" s="230"/>
      <c r="X8" s="145"/>
    </row>
    <row r="9" spans="1:24" x14ac:dyDescent="0.25">
      <c r="B9" s="14" t="s">
        <v>71</v>
      </c>
      <c r="C9" s="54">
        <f>+O9/O8</f>
        <v>0.84699992856264061</v>
      </c>
      <c r="D9" s="49" t="s">
        <v>140</v>
      </c>
      <c r="E9" s="49"/>
      <c r="F9" s="49"/>
      <c r="G9" s="14">
        <v>8536709</v>
      </c>
      <c r="H9" s="14">
        <v>8536709</v>
      </c>
      <c r="I9" s="14">
        <v>8536709</v>
      </c>
      <c r="J9" s="14">
        <v>8536709</v>
      </c>
      <c r="K9" s="14">
        <v>8536709</v>
      </c>
      <c r="L9" s="14">
        <v>8536709</v>
      </c>
      <c r="M9" s="14">
        <v>8536709</v>
      </c>
      <c r="N9" s="14">
        <v>8536709</v>
      </c>
      <c r="O9" s="14">
        <v>8536709</v>
      </c>
      <c r="R9" s="145"/>
      <c r="S9" s="145"/>
      <c r="T9" s="145"/>
      <c r="U9" s="146"/>
      <c r="V9" s="146"/>
      <c r="W9" s="230"/>
      <c r="X9" s="145"/>
    </row>
    <row r="10" spans="1:24" x14ac:dyDescent="0.25">
      <c r="B10" s="14" t="s">
        <v>76</v>
      </c>
      <c r="C10" s="49"/>
      <c r="D10" s="49"/>
      <c r="E10" s="49"/>
      <c r="F10" s="49"/>
      <c r="G10" s="14">
        <v>60681</v>
      </c>
      <c r="H10" s="14">
        <v>60681</v>
      </c>
      <c r="I10" s="14">
        <v>60681</v>
      </c>
      <c r="J10" s="14">
        <v>60681</v>
      </c>
      <c r="K10" s="14">
        <v>60681</v>
      </c>
      <c r="L10" s="14">
        <v>60681</v>
      </c>
      <c r="M10" s="14">
        <v>60681</v>
      </c>
      <c r="N10" s="14">
        <v>60681</v>
      </c>
      <c r="O10" s="14">
        <v>60681</v>
      </c>
      <c r="P10" s="14"/>
      <c r="R10" s="145"/>
      <c r="S10" s="145"/>
      <c r="T10" s="25"/>
      <c r="U10" s="25"/>
      <c r="V10" s="25"/>
      <c r="W10" s="145"/>
      <c r="X10" s="145"/>
    </row>
    <row r="11" spans="1:24" x14ac:dyDescent="0.25">
      <c r="B11" s="14" t="s">
        <v>121</v>
      </c>
      <c r="C11" s="49"/>
      <c r="D11" s="49"/>
      <c r="E11" s="49"/>
      <c r="F11" s="49"/>
      <c r="G11" s="14">
        <v>367500</v>
      </c>
      <c r="H11" s="14">
        <v>367500</v>
      </c>
      <c r="I11" s="14">
        <v>367500</v>
      </c>
      <c r="J11" s="14">
        <v>367500</v>
      </c>
      <c r="K11" s="14">
        <v>367500</v>
      </c>
      <c r="L11" s="14">
        <v>367500</v>
      </c>
      <c r="M11" s="14">
        <v>367500</v>
      </c>
      <c r="N11" s="14">
        <v>367500</v>
      </c>
      <c r="O11" s="14">
        <v>367500</v>
      </c>
      <c r="P11" s="64"/>
      <c r="R11" s="145"/>
      <c r="S11" s="145"/>
      <c r="T11" s="145"/>
      <c r="U11" s="145"/>
      <c r="V11" s="145"/>
      <c r="W11" s="25"/>
      <c r="X11" s="145"/>
    </row>
    <row r="12" spans="1:24" x14ac:dyDescent="0.25">
      <c r="P12" s="14"/>
      <c r="R12" s="145"/>
      <c r="S12" s="145"/>
      <c r="T12" s="145"/>
      <c r="U12" s="145"/>
      <c r="V12" s="145"/>
      <c r="W12" s="145"/>
      <c r="X12" s="145"/>
    </row>
    <row r="13" spans="1:24" x14ac:dyDescent="0.25">
      <c r="B13" s="14" t="s">
        <v>79</v>
      </c>
      <c r="C13" s="49"/>
      <c r="D13" s="49"/>
      <c r="E13" s="49"/>
      <c r="F13" s="49"/>
      <c r="G13" s="14">
        <v>2381670</v>
      </c>
      <c r="H13" s="14">
        <v>2381670</v>
      </c>
      <c r="I13" s="14">
        <v>2381670</v>
      </c>
      <c r="J13" s="14">
        <v>2381670</v>
      </c>
      <c r="K13" s="14">
        <v>2295000</v>
      </c>
      <c r="L13" s="14">
        <v>4752000</v>
      </c>
      <c r="M13" s="14">
        <v>4752000</v>
      </c>
      <c r="N13" s="14">
        <v>4752000</v>
      </c>
      <c r="O13" s="14">
        <v>4752000</v>
      </c>
      <c r="P13" s="28"/>
    </row>
    <row r="14" spans="1:24" x14ac:dyDescent="0.25">
      <c r="B14" s="70" t="s">
        <v>114</v>
      </c>
      <c r="C14" s="49"/>
      <c r="D14" s="49"/>
      <c r="E14" s="49"/>
      <c r="F14" s="49"/>
      <c r="G14" s="14">
        <v>4027000</v>
      </c>
      <c r="H14" s="14">
        <v>4027000</v>
      </c>
      <c r="I14" s="14">
        <v>4027000</v>
      </c>
      <c r="J14" s="14">
        <v>4027000</v>
      </c>
      <c r="K14" s="14">
        <v>4027000</v>
      </c>
      <c r="L14" s="14">
        <v>4027000</v>
      </c>
      <c r="M14" s="14">
        <v>4027000</v>
      </c>
      <c r="N14" s="14">
        <v>4027000</v>
      </c>
      <c r="O14" s="14">
        <v>4027000</v>
      </c>
      <c r="P14" s="14"/>
      <c r="Q14" s="2"/>
    </row>
    <row r="15" spans="1:24" x14ac:dyDescent="0.25">
      <c r="B15" s="71"/>
      <c r="N15" s="2"/>
      <c r="O15" s="2"/>
      <c r="P15" s="14"/>
      <c r="R15" s="73"/>
      <c r="S15" s="74"/>
      <c r="T15" s="74"/>
      <c r="U15" s="74"/>
      <c r="V15" s="75"/>
    </row>
    <row r="16" spans="1:24" ht="15.75" x14ac:dyDescent="0.25">
      <c r="B16" s="18" t="s">
        <v>49</v>
      </c>
      <c r="G16" s="103" t="s">
        <v>228</v>
      </c>
      <c r="H16" s="103" t="s">
        <v>220</v>
      </c>
      <c r="I16" s="103" t="s">
        <v>209</v>
      </c>
      <c r="J16" s="103" t="s">
        <v>182</v>
      </c>
      <c r="K16" s="103" t="s">
        <v>179</v>
      </c>
      <c r="L16" s="103" t="s">
        <v>157</v>
      </c>
      <c r="M16" s="103" t="s">
        <v>146</v>
      </c>
      <c r="N16" s="103" t="s">
        <v>147</v>
      </c>
      <c r="O16" s="72" t="s">
        <v>123</v>
      </c>
      <c r="P16" s="14"/>
      <c r="R16" s="76" t="s">
        <v>81</v>
      </c>
      <c r="S16" s="77"/>
      <c r="T16" s="78"/>
    </row>
    <row r="17" spans="2:22" x14ac:dyDescent="0.25">
      <c r="B17" s="14" t="s">
        <v>71</v>
      </c>
      <c r="C17" s="49"/>
      <c r="D17" s="49"/>
      <c r="E17" s="49"/>
      <c r="F17" s="49"/>
      <c r="G17" s="14">
        <v>8964890</v>
      </c>
      <c r="H17" s="14">
        <v>8964890</v>
      </c>
      <c r="I17" s="14">
        <v>8964890</v>
      </c>
      <c r="J17" s="14">
        <v>8964890</v>
      </c>
      <c r="K17" s="14">
        <v>8964890</v>
      </c>
      <c r="L17" s="14">
        <v>8964890</v>
      </c>
      <c r="M17" s="14">
        <v>8964890</v>
      </c>
      <c r="N17" s="14">
        <v>8964890</v>
      </c>
      <c r="O17" s="14">
        <v>8964890</v>
      </c>
      <c r="P17" s="14"/>
      <c r="R17" s="79"/>
      <c r="S17" s="80"/>
      <c r="T17" s="80" t="s">
        <v>85</v>
      </c>
    </row>
    <row r="18" spans="2:22" x14ac:dyDescent="0.25">
      <c r="B18" s="14" t="s">
        <v>82</v>
      </c>
      <c r="C18" s="49"/>
      <c r="D18" s="49"/>
      <c r="E18" s="49"/>
      <c r="F18" s="49"/>
      <c r="G18" s="177">
        <f>H18+H19</f>
        <v>-824701.1649999998</v>
      </c>
      <c r="H18" s="14">
        <f>I18+I19-2</f>
        <v>-764283.56999999983</v>
      </c>
      <c r="I18" s="14">
        <f>J18+J19</f>
        <v>-703863.97499999986</v>
      </c>
      <c r="J18" s="14">
        <f>K18+K19</f>
        <v>-643446.37999999989</v>
      </c>
      <c r="K18" s="14">
        <f>L18+L19</f>
        <v>-583028.78499999992</v>
      </c>
      <c r="L18" s="14">
        <f>M18+M19</f>
        <v>-522611.18999999994</v>
      </c>
      <c r="M18" s="14">
        <f>N18+N19-1</f>
        <v>-462193.59499999997</v>
      </c>
      <c r="N18" s="14">
        <f>O18+O19</f>
        <v>-401775</v>
      </c>
      <c r="O18" s="14">
        <v>-353607</v>
      </c>
      <c r="R18" s="83"/>
      <c r="S18" s="84"/>
      <c r="T18" s="84">
        <f>-(U21*J10+U25*J9+J11*U22)</f>
        <v>-60417.595000000001</v>
      </c>
    </row>
    <row r="19" spans="2:22" ht="15.75" thickBot="1" x14ac:dyDescent="0.3">
      <c r="B19" s="14" t="s">
        <v>86</v>
      </c>
      <c r="C19" s="49"/>
      <c r="D19" s="49"/>
      <c r="E19" s="49"/>
      <c r="F19" s="49"/>
      <c r="G19" s="81">
        <f>T18</f>
        <v>-60417.595000000001</v>
      </c>
      <c r="H19" s="81">
        <f>T18</f>
        <v>-60417.595000000001</v>
      </c>
      <c r="I19" s="81">
        <f>T18</f>
        <v>-60417.595000000001</v>
      </c>
      <c r="J19" s="81">
        <f>+T18</f>
        <v>-60417.595000000001</v>
      </c>
      <c r="K19" s="81">
        <f>+T18</f>
        <v>-60417.595000000001</v>
      </c>
      <c r="L19" s="81">
        <f>+T18</f>
        <v>-60417.595000000001</v>
      </c>
      <c r="M19" s="81">
        <f>+T18</f>
        <v>-60417.595000000001</v>
      </c>
      <c r="N19" s="81">
        <f>+T18</f>
        <v>-60417.595000000001</v>
      </c>
      <c r="O19" s="81">
        <v>-48168</v>
      </c>
    </row>
    <row r="20" spans="2:22" ht="15.75" thickTop="1" x14ac:dyDescent="0.25">
      <c r="B20" s="2"/>
      <c r="F20" s="85" t="s">
        <v>87</v>
      </c>
      <c r="G20" s="86">
        <f t="shared" ref="G20" si="0">SUM(G17:G19)</f>
        <v>8079771.2400000002</v>
      </c>
      <c r="H20" s="86">
        <f t="shared" ref="H20:I20" si="1">SUM(H17:H19)</f>
        <v>8140188.835</v>
      </c>
      <c r="I20" s="86">
        <f t="shared" si="1"/>
        <v>8200608.4300000006</v>
      </c>
      <c r="J20" s="86">
        <f t="shared" ref="J20:O20" si="2">SUM(J17:J19)</f>
        <v>8261026.0250000004</v>
      </c>
      <c r="K20" s="86">
        <f t="shared" si="2"/>
        <v>8321443.6200000001</v>
      </c>
      <c r="L20" s="86">
        <f t="shared" si="2"/>
        <v>8381861.2150000008</v>
      </c>
      <c r="M20" s="86">
        <f t="shared" si="2"/>
        <v>8442278.8099999987</v>
      </c>
      <c r="N20" s="86">
        <f t="shared" si="2"/>
        <v>8502697.4049999993</v>
      </c>
      <c r="O20" s="86">
        <f t="shared" si="2"/>
        <v>8563115</v>
      </c>
      <c r="P20" s="47"/>
      <c r="R20" s="58" t="s">
        <v>90</v>
      </c>
      <c r="S20" s="88"/>
      <c r="T20" s="59" t="s">
        <v>91</v>
      </c>
      <c r="U20" s="89" t="s">
        <v>92</v>
      </c>
    </row>
    <row r="21" spans="2:22" x14ac:dyDescent="0.25"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R21" s="90" t="s">
        <v>93</v>
      </c>
      <c r="S21" s="90"/>
      <c r="T21" s="90">
        <v>20</v>
      </c>
      <c r="U21" s="92">
        <f>1/T21</f>
        <v>0.05</v>
      </c>
    </row>
    <row r="22" spans="2:22" ht="15.75" x14ac:dyDescent="0.25">
      <c r="B22" s="18"/>
      <c r="N22" s="87"/>
      <c r="O22" s="87"/>
      <c r="R22" s="97" t="s">
        <v>128</v>
      </c>
      <c r="S22" s="98"/>
      <c r="T22" s="99">
        <v>25</v>
      </c>
      <c r="U22" s="92">
        <v>0.04</v>
      </c>
      <c r="V22" t="s">
        <v>129</v>
      </c>
    </row>
    <row r="23" spans="2:22" x14ac:dyDescent="0.25">
      <c r="B23" s="227"/>
      <c r="C23" s="228"/>
      <c r="D23" s="228"/>
      <c r="E23" s="228"/>
      <c r="F23" s="228"/>
      <c r="G23" s="228"/>
      <c r="H23" s="228"/>
      <c r="I23" s="228"/>
      <c r="J23" s="14"/>
      <c r="K23" s="14">
        <f>+L8-L9</f>
        <v>1542051</v>
      </c>
      <c r="L23" s="14">
        <f>+M8-M9</f>
        <v>1542051</v>
      </c>
      <c r="M23" s="14">
        <f>+N8-N9</f>
        <v>1542051</v>
      </c>
      <c r="N23" s="14">
        <f>+O8-O9</f>
        <v>1542051</v>
      </c>
      <c r="O23" s="14">
        <v>1542051</v>
      </c>
      <c r="R23" s="90" t="s">
        <v>96</v>
      </c>
      <c r="S23" s="90"/>
      <c r="T23" s="90">
        <v>50</v>
      </c>
      <c r="U23" s="92">
        <f>1/T23</f>
        <v>0.02</v>
      </c>
    </row>
    <row r="24" spans="2:22" x14ac:dyDescent="0.25">
      <c r="B24" s="94"/>
      <c r="C24" s="95"/>
      <c r="D24" s="95"/>
      <c r="E24" s="95"/>
      <c r="F24" s="95"/>
      <c r="G24" s="95"/>
      <c r="H24" s="95"/>
      <c r="I24" s="95"/>
      <c r="J24" s="14"/>
      <c r="K24" s="14"/>
      <c r="L24" s="14"/>
      <c r="M24" s="14"/>
      <c r="N24" s="14"/>
      <c r="O24" s="14"/>
      <c r="R24" s="90" t="s">
        <v>96</v>
      </c>
      <c r="S24" s="90"/>
      <c r="T24" s="90">
        <v>100</v>
      </c>
      <c r="U24" s="92">
        <f>1/T24</f>
        <v>0.01</v>
      </c>
    </row>
    <row r="25" spans="2:22" ht="15.75" x14ac:dyDescent="0.25">
      <c r="B25" s="18"/>
      <c r="C25" s="95"/>
      <c r="D25" s="95"/>
      <c r="E25" s="95"/>
      <c r="F25" s="95"/>
      <c r="G25" s="95"/>
      <c r="H25" s="95"/>
      <c r="I25" s="95"/>
      <c r="J25" s="144"/>
      <c r="K25" s="14"/>
      <c r="L25" s="14"/>
      <c r="M25" s="14"/>
      <c r="N25" s="14"/>
      <c r="O25" s="14"/>
      <c r="R25" s="90" t="s">
        <v>96</v>
      </c>
      <c r="S25" s="90"/>
      <c r="T25" s="90">
        <v>200</v>
      </c>
      <c r="U25" s="92">
        <f>1/T25</f>
        <v>5.0000000000000001E-3</v>
      </c>
    </row>
    <row r="26" spans="2:22" x14ac:dyDescent="0.25">
      <c r="B26" s="94"/>
      <c r="C26" s="95"/>
      <c r="D26" s="95"/>
      <c r="E26" s="95"/>
      <c r="F26" s="95"/>
      <c r="G26" s="95"/>
      <c r="H26" s="95"/>
      <c r="I26" s="95"/>
      <c r="J26" s="14"/>
      <c r="K26" s="14"/>
      <c r="L26" s="14"/>
      <c r="M26" s="14"/>
      <c r="N26" s="14"/>
      <c r="O26" s="14"/>
      <c r="U26" s="100"/>
    </row>
    <row r="27" spans="2:22" x14ac:dyDescent="0.25">
      <c r="B27" s="14"/>
      <c r="C27" s="95"/>
      <c r="D27" s="95"/>
      <c r="E27" s="95"/>
      <c r="F27" s="95"/>
      <c r="G27" s="95"/>
      <c r="H27" s="95"/>
      <c r="I27" s="95"/>
      <c r="J27" s="14"/>
      <c r="K27" s="14"/>
      <c r="L27" s="14"/>
      <c r="M27" s="14"/>
      <c r="N27" s="14"/>
      <c r="O27" s="14"/>
    </row>
  </sheetData>
  <mergeCells count="2">
    <mergeCell ref="W8:W9"/>
    <mergeCell ref="B23:I23"/>
  </mergeCells>
  <phoneticPr fontId="26" type="noConversion"/>
  <pageMargins left="0.7" right="0.7" top="0.75" bottom="0.75" header="0.3" footer="0.3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3:M14"/>
  <sheetViews>
    <sheetView workbookViewId="0">
      <selection activeCell="I11" sqref="I11"/>
    </sheetView>
  </sheetViews>
  <sheetFormatPr defaultRowHeight="15" x14ac:dyDescent="0.25"/>
  <cols>
    <col min="3" max="3" width="10.7109375" customWidth="1"/>
    <col min="4" max="4" width="13.7109375" bestFit="1" customWidth="1"/>
    <col min="6" max="6" width="11.5703125" customWidth="1"/>
    <col min="7" max="7" width="8.85546875" customWidth="1"/>
    <col min="8" max="8" width="13.7109375" customWidth="1"/>
    <col min="9" max="9" width="16.140625" bestFit="1" customWidth="1"/>
    <col min="10" max="10" width="13.7109375" customWidth="1"/>
    <col min="11" max="11" width="13" customWidth="1"/>
    <col min="12" max="14" width="8.85546875" customWidth="1"/>
    <col min="17" max="17" width="8.85546875" customWidth="1"/>
  </cols>
  <sheetData>
    <row r="3" spans="1:13" x14ac:dyDescent="0.25">
      <c r="A3" t="s">
        <v>198</v>
      </c>
      <c r="B3" s="174" t="s">
        <v>235</v>
      </c>
    </row>
    <row r="5" spans="1:13" x14ac:dyDescent="0.25">
      <c r="B5" t="s">
        <v>200</v>
      </c>
      <c r="D5" s="151">
        <f>-H14</f>
        <v>-13842.074000000001</v>
      </c>
    </row>
    <row r="7" spans="1:13" x14ac:dyDescent="0.25">
      <c r="B7" s="8" t="s">
        <v>202</v>
      </c>
      <c r="K7" s="14"/>
      <c r="L7" s="14"/>
      <c r="M7" s="14"/>
    </row>
    <row r="8" spans="1:13" ht="30" x14ac:dyDescent="0.25">
      <c r="B8" s="58" t="s">
        <v>90</v>
      </c>
      <c r="C8" s="88"/>
      <c r="D8" s="88" t="s">
        <v>201</v>
      </c>
      <c r="E8" s="147" t="s">
        <v>189</v>
      </c>
      <c r="F8" s="147" t="s">
        <v>190</v>
      </c>
      <c r="G8" s="148" t="s">
        <v>92</v>
      </c>
      <c r="H8" s="150" t="s">
        <v>86</v>
      </c>
      <c r="I8" s="150" t="s">
        <v>217</v>
      </c>
      <c r="J8" s="150" t="s">
        <v>216</v>
      </c>
      <c r="K8" s="150" t="s">
        <v>215</v>
      </c>
    </row>
    <row r="9" spans="1:13" x14ac:dyDescent="0.25">
      <c r="B9" s="138" t="s">
        <v>191</v>
      </c>
      <c r="C9" s="138"/>
      <c r="D9" s="179">
        <v>49375</v>
      </c>
      <c r="E9" s="136">
        <v>2020</v>
      </c>
      <c r="F9" s="136">
        <v>10</v>
      </c>
      <c r="G9" s="137">
        <f>1/F9</f>
        <v>0.1</v>
      </c>
      <c r="H9" s="149">
        <f>D9*G9</f>
        <v>4937.5</v>
      </c>
      <c r="I9" s="149">
        <f>4937.5+H9+H9+H9</f>
        <v>19750</v>
      </c>
      <c r="J9" s="149">
        <f>D9-4937.5</f>
        <v>44437.5</v>
      </c>
      <c r="K9" s="149">
        <f>D9-I9</f>
        <v>29625</v>
      </c>
    </row>
    <row r="10" spans="1:13" x14ac:dyDescent="0.25">
      <c r="B10" s="97" t="s">
        <v>210</v>
      </c>
      <c r="C10" s="135"/>
      <c r="D10" s="179">
        <v>44522.87</v>
      </c>
      <c r="E10" s="136">
        <v>2021</v>
      </c>
      <c r="F10" s="136">
        <v>5</v>
      </c>
      <c r="G10" s="137">
        <f>1/F10</f>
        <v>0.2</v>
      </c>
      <c r="H10" s="149">
        <f>D10*G10</f>
        <v>8904.5740000000005</v>
      </c>
      <c r="I10" s="149">
        <f>H10+H10+H10</f>
        <v>26713.722000000002</v>
      </c>
      <c r="J10" s="149"/>
      <c r="K10" s="149">
        <f>D10-I10</f>
        <v>17809.148000000001</v>
      </c>
    </row>
    <row r="11" spans="1:13" x14ac:dyDescent="0.25">
      <c r="B11" s="97" t="s">
        <v>211</v>
      </c>
      <c r="C11" s="135"/>
      <c r="D11" s="180">
        <v>38734</v>
      </c>
      <c r="E11" s="90"/>
      <c r="F11" s="90"/>
      <c r="G11" s="92"/>
      <c r="H11" s="92"/>
      <c r="I11" s="178">
        <v>38734</v>
      </c>
      <c r="J11" s="90">
        <v>0</v>
      </c>
      <c r="K11" s="149">
        <f t="shared" ref="K11" si="0">D11-I11</f>
        <v>0</v>
      </c>
    </row>
    <row r="12" spans="1:13" x14ac:dyDescent="0.25">
      <c r="B12" s="97"/>
      <c r="C12" s="135"/>
      <c r="D12" s="181"/>
      <c r="E12" s="90"/>
      <c r="F12" s="90"/>
      <c r="G12" s="92"/>
      <c r="H12" s="92"/>
      <c r="I12" s="92"/>
      <c r="J12" s="92"/>
      <c r="K12" s="92"/>
    </row>
    <row r="13" spans="1:13" x14ac:dyDescent="0.25">
      <c r="B13" s="139"/>
      <c r="C13" s="134"/>
      <c r="D13" s="182"/>
      <c r="E13" s="90"/>
      <c r="F13" s="90"/>
      <c r="G13" s="92"/>
      <c r="H13" s="92"/>
      <c r="I13" s="92"/>
      <c r="J13" s="92"/>
      <c r="K13" s="92"/>
    </row>
    <row r="14" spans="1:13" x14ac:dyDescent="0.25">
      <c r="B14" t="s">
        <v>99</v>
      </c>
      <c r="D14" s="183">
        <f>SUM(D9:D13)</f>
        <v>132631.87</v>
      </c>
      <c r="H14" s="191">
        <f>SUM(H9:H13)</f>
        <v>13842.074000000001</v>
      </c>
      <c r="I14" s="170">
        <f>SUM(I9:I13)</f>
        <v>85197.722000000009</v>
      </c>
      <c r="J14" s="170">
        <f>SUM(J9:J13)</f>
        <v>44437.5</v>
      </c>
      <c r="K14" s="170">
        <f>SUM(K9:K13)</f>
        <v>47434.148000000001</v>
      </c>
    </row>
  </sheetData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10"/>
  <sheetViews>
    <sheetView workbookViewId="0">
      <selection activeCell="B9" sqref="B9"/>
    </sheetView>
  </sheetViews>
  <sheetFormatPr defaultRowHeight="15" x14ac:dyDescent="0.25"/>
  <cols>
    <col min="2" max="2" width="45.7109375" bestFit="1" customWidth="1"/>
    <col min="3" max="3" width="13.7109375" customWidth="1"/>
    <col min="4" max="4" width="11.42578125" bestFit="1" customWidth="1"/>
    <col min="6" max="6" width="9.85546875" bestFit="1" customWidth="1"/>
    <col min="7" max="7" width="8.85546875" customWidth="1"/>
    <col min="8" max="8" width="11.85546875" customWidth="1"/>
    <col min="9" max="12" width="8.85546875" customWidth="1"/>
    <col min="15" max="15" width="8.85546875" customWidth="1"/>
  </cols>
  <sheetData>
    <row r="1" spans="1:4" x14ac:dyDescent="0.25">
      <c r="A1" t="s">
        <v>205</v>
      </c>
      <c r="B1" s="152">
        <v>45291</v>
      </c>
    </row>
    <row r="3" spans="1:4" x14ac:dyDescent="0.25">
      <c r="A3" t="s">
        <v>198</v>
      </c>
      <c r="B3" s="174" t="s">
        <v>243</v>
      </c>
    </row>
    <row r="5" spans="1:4" x14ac:dyDescent="0.25">
      <c r="B5" t="s">
        <v>203</v>
      </c>
      <c r="C5" s="184" t="s">
        <v>223</v>
      </c>
      <c r="D5" s="151"/>
    </row>
    <row r="8" spans="1:4" x14ac:dyDescent="0.25">
      <c r="A8" t="s">
        <v>198</v>
      </c>
      <c r="B8" s="174" t="s">
        <v>214</v>
      </c>
    </row>
    <row r="10" spans="1:4" x14ac:dyDescent="0.25">
      <c r="B10" t="s">
        <v>204</v>
      </c>
      <c r="C10" s="184">
        <v>-48259.45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4C4E-ADA4-42CC-AB48-246150F1B07F}">
  <dimension ref="A1:D16"/>
  <sheetViews>
    <sheetView tabSelected="1" workbookViewId="0">
      <selection activeCell="D14" sqref="D14"/>
    </sheetView>
  </sheetViews>
  <sheetFormatPr defaultRowHeight="15" x14ac:dyDescent="0.25"/>
  <cols>
    <col min="1" max="1" width="47.42578125" bestFit="1" customWidth="1"/>
    <col min="2" max="2" width="10.28515625" customWidth="1"/>
    <col min="3" max="3" width="3.140625" customWidth="1"/>
    <col min="4" max="4" width="9.85546875" customWidth="1"/>
  </cols>
  <sheetData>
    <row r="1" spans="1:4" ht="21" x14ac:dyDescent="0.35">
      <c r="A1" s="1" t="s">
        <v>251</v>
      </c>
      <c r="B1" s="133"/>
      <c r="C1" s="133"/>
      <c r="D1" s="133"/>
    </row>
    <row r="2" spans="1:4" ht="18.75" x14ac:dyDescent="0.3">
      <c r="A2" s="3" t="s">
        <v>151</v>
      </c>
      <c r="B2" s="131"/>
      <c r="C2" s="131"/>
      <c r="D2" s="131"/>
    </row>
    <row r="3" spans="1:4" ht="15.75" x14ac:dyDescent="0.25">
      <c r="A3" s="4" t="s">
        <v>150</v>
      </c>
      <c r="B3" s="131"/>
      <c r="C3" s="131"/>
      <c r="D3" s="131"/>
    </row>
    <row r="4" spans="1:4" ht="15.75" x14ac:dyDescent="0.25">
      <c r="A4" s="4" t="s">
        <v>231</v>
      </c>
      <c r="B4" s="131"/>
      <c r="C4" s="131"/>
      <c r="D4" s="131"/>
    </row>
    <row r="5" spans="1:4" ht="15.75" x14ac:dyDescent="0.25">
      <c r="A5" s="2"/>
      <c r="B5" s="131"/>
      <c r="C5" s="131"/>
      <c r="D5" s="131"/>
    </row>
    <row r="6" spans="1:4" ht="15.75" x14ac:dyDescent="0.25">
      <c r="B6" s="133"/>
      <c r="C6" s="133"/>
      <c r="D6" s="133"/>
    </row>
    <row r="7" spans="1:4" ht="18.75" x14ac:dyDescent="0.3">
      <c r="A7" s="7" t="s">
        <v>251</v>
      </c>
      <c r="B7" s="126" t="s">
        <v>226</v>
      </c>
      <c r="C7" s="126"/>
      <c r="D7" s="126" t="s">
        <v>221</v>
      </c>
    </row>
    <row r="8" spans="1:4" s="8" customFormat="1" ht="21.6" customHeight="1" x14ac:dyDescent="0.25">
      <c r="A8" s="19" t="s">
        <v>252</v>
      </c>
      <c r="B8" s="127">
        <v>50686</v>
      </c>
      <c r="C8" s="127"/>
      <c r="D8" s="127">
        <v>30858</v>
      </c>
    </row>
    <row r="9" spans="1:4" ht="15.75" x14ac:dyDescent="0.25">
      <c r="A9" s="2" t="s">
        <v>257</v>
      </c>
      <c r="B9" s="104">
        <v>26147</v>
      </c>
      <c r="C9" s="104"/>
      <c r="D9" s="104">
        <v>24864</v>
      </c>
    </row>
    <row r="10" spans="1:4" ht="15.75" x14ac:dyDescent="0.25">
      <c r="A10" s="2" t="s">
        <v>253</v>
      </c>
      <c r="B10" s="104">
        <v>-147</v>
      </c>
      <c r="C10" s="104"/>
      <c r="D10" s="104">
        <v>-112</v>
      </c>
    </row>
    <row r="11" spans="1:4" ht="15.75" x14ac:dyDescent="0.25">
      <c r="A11" s="2" t="s">
        <v>254</v>
      </c>
      <c r="B11" s="104">
        <v>0</v>
      </c>
      <c r="C11" s="104"/>
      <c r="D11" s="104">
        <v>0</v>
      </c>
    </row>
    <row r="12" spans="1:4" ht="15.75" x14ac:dyDescent="0.25">
      <c r="A12" s="2" t="s">
        <v>258</v>
      </c>
      <c r="B12" s="104">
        <f>-24626+21223+1</f>
        <v>-3402</v>
      </c>
      <c r="C12" s="104"/>
      <c r="D12" s="104">
        <f>-29550+24626</f>
        <v>-4924</v>
      </c>
    </row>
    <row r="13" spans="1:4" ht="15.75" x14ac:dyDescent="0.25">
      <c r="A13" s="2" t="s">
        <v>259</v>
      </c>
      <c r="B13" s="104">
        <v>23380</v>
      </c>
      <c r="C13" s="104"/>
      <c r="D13" s="104">
        <v>0</v>
      </c>
    </row>
    <row r="14" spans="1:4" s="8" customFormat="1" ht="15.75" x14ac:dyDescent="0.25">
      <c r="A14" s="19" t="s">
        <v>255</v>
      </c>
      <c r="B14" s="127">
        <f>SUM(B8:B13)</f>
        <v>96664</v>
      </c>
      <c r="C14" s="127"/>
      <c r="D14" s="127">
        <f>SUM(D8:D13)</f>
        <v>50686</v>
      </c>
    </row>
    <row r="15" spans="1:4" ht="15.75" x14ac:dyDescent="0.25">
      <c r="A15" s="2"/>
      <c r="B15" s="104"/>
      <c r="C15" s="104"/>
      <c r="D15" s="104"/>
    </row>
    <row r="16" spans="1:4" s="46" customFormat="1" ht="15.75" x14ac:dyDescent="0.25">
      <c r="A16" s="18" t="s">
        <v>256</v>
      </c>
      <c r="B16" s="127">
        <f>B14-B8</f>
        <v>45978</v>
      </c>
      <c r="C16" s="127"/>
      <c r="D16" s="127">
        <f>D14-D8</f>
        <v>19828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9"/>
  <sheetViews>
    <sheetView workbookViewId="0">
      <selection activeCell="F13" sqref="F13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8" width="10.7109375" style="160" customWidth="1"/>
    <col min="9" max="12" width="10.7109375" customWidth="1"/>
    <col min="13" max="14" width="13" hidden="1" customWidth="1"/>
    <col min="15" max="15" width="6.5703125" customWidth="1"/>
    <col min="17" max="17" width="9.28515625" customWidth="1"/>
    <col min="18" max="18" width="9.140625" customWidth="1"/>
    <col min="19" max="19" width="11" customWidth="1"/>
    <col min="20" max="20" width="10.7109375" bestFit="1" customWidth="1"/>
    <col min="21" max="21" width="9.5703125" bestFit="1" customWidth="1"/>
    <col min="23" max="23" width="13.28515625" customWidth="1"/>
    <col min="24" max="29" width="0" hidden="1" customWidth="1"/>
  </cols>
  <sheetData>
    <row r="1" spans="1:28" ht="21" x14ac:dyDescent="0.35">
      <c r="A1" s="45" t="s">
        <v>233</v>
      </c>
    </row>
    <row r="2" spans="1:28" x14ac:dyDescent="0.25">
      <c r="A2" s="46" t="s">
        <v>63</v>
      </c>
      <c r="B2" s="18" t="s">
        <v>64</v>
      </c>
      <c r="F2" s="190" t="s">
        <v>228</v>
      </c>
      <c r="G2" s="190" t="s">
        <v>220</v>
      </c>
      <c r="H2" s="190" t="s">
        <v>209</v>
      </c>
      <c r="I2" s="103" t="s">
        <v>182</v>
      </c>
      <c r="J2" s="103" t="s">
        <v>179</v>
      </c>
      <c r="K2" s="103" t="s">
        <v>157</v>
      </c>
      <c r="L2" s="103" t="s">
        <v>146</v>
      </c>
    </row>
    <row r="3" spans="1:28" x14ac:dyDescent="0.25">
      <c r="B3" s="223" t="s">
        <v>65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47"/>
    </row>
    <row r="4" spans="1:28" x14ac:dyDescent="0.25"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28" ht="16.5" thickBot="1" x14ac:dyDescent="0.3">
      <c r="A5" s="46" t="s">
        <v>66</v>
      </c>
      <c r="B5" s="46" t="s">
        <v>67</v>
      </c>
      <c r="M5" s="48"/>
    </row>
    <row r="6" spans="1:28" x14ac:dyDescent="0.25">
      <c r="B6" s="14" t="s">
        <v>68</v>
      </c>
      <c r="C6" s="49"/>
      <c r="D6" s="49"/>
      <c r="E6" s="49"/>
      <c r="F6" s="70">
        <v>10078760</v>
      </c>
      <c r="G6" s="70">
        <v>10078760</v>
      </c>
      <c r="H6" s="70">
        <v>10078760</v>
      </c>
      <c r="I6" s="14">
        <v>10078760</v>
      </c>
      <c r="J6" s="14">
        <v>10078760</v>
      </c>
      <c r="K6" s="14">
        <v>10078760</v>
      </c>
      <c r="L6" s="14">
        <v>10078760</v>
      </c>
      <c r="M6" s="14">
        <v>10078760</v>
      </c>
      <c r="N6" s="14">
        <v>10078760</v>
      </c>
      <c r="Q6" s="50" t="s">
        <v>62</v>
      </c>
      <c r="R6" s="51"/>
      <c r="S6" s="52" t="s">
        <v>69</v>
      </c>
      <c r="T6" s="53"/>
      <c r="U6" s="53"/>
      <c r="V6" s="225" t="s">
        <v>70</v>
      </c>
      <c r="X6" s="73" t="s">
        <v>80</v>
      </c>
      <c r="Y6" s="74"/>
      <c r="Z6" s="74"/>
      <c r="AA6" s="74"/>
      <c r="AB6" s="75"/>
    </row>
    <row r="7" spans="1:28" x14ac:dyDescent="0.25">
      <c r="B7" s="14" t="s">
        <v>71</v>
      </c>
      <c r="C7" s="54">
        <f>+N7/N6</f>
        <v>0.84699992856264061</v>
      </c>
      <c r="D7" s="49" t="s">
        <v>140</v>
      </c>
      <c r="E7" s="55"/>
      <c r="F7" s="70">
        <v>8536709</v>
      </c>
      <c r="G7" s="70">
        <v>8536709</v>
      </c>
      <c r="H7" s="70">
        <v>8536709</v>
      </c>
      <c r="I7" s="14">
        <v>8536709</v>
      </c>
      <c r="J7" s="14">
        <v>8536709</v>
      </c>
      <c r="K7" s="14">
        <v>8536709</v>
      </c>
      <c r="L7" s="14">
        <v>8536709</v>
      </c>
      <c r="M7" s="14">
        <v>8536709</v>
      </c>
      <c r="N7" s="14">
        <v>8536709</v>
      </c>
      <c r="Q7" s="56"/>
      <c r="R7" s="57"/>
      <c r="S7" s="58" t="s">
        <v>73</v>
      </c>
      <c r="T7" s="59" t="s">
        <v>74</v>
      </c>
      <c r="U7" s="59" t="s">
        <v>75</v>
      </c>
      <c r="V7" s="226"/>
      <c r="X7" s="76" t="s">
        <v>81</v>
      </c>
      <c r="Y7" s="77"/>
      <c r="Z7" s="78"/>
    </row>
    <row r="8" spans="1:28" x14ac:dyDescent="0.25">
      <c r="B8" s="14" t="s">
        <v>76</v>
      </c>
      <c r="C8" s="49"/>
      <c r="D8" s="49"/>
      <c r="E8" s="49"/>
      <c r="F8" s="70">
        <v>60681</v>
      </c>
      <c r="G8" s="70">
        <v>60681</v>
      </c>
      <c r="H8" s="70">
        <v>60681</v>
      </c>
      <c r="I8" s="14">
        <v>60681</v>
      </c>
      <c r="J8" s="14">
        <v>60681</v>
      </c>
      <c r="K8" s="14">
        <v>60681</v>
      </c>
      <c r="L8" s="14">
        <v>60681</v>
      </c>
      <c r="M8" s="14">
        <v>60681</v>
      </c>
      <c r="N8" s="14">
        <v>60681</v>
      </c>
      <c r="O8" s="14"/>
      <c r="Q8" s="60" t="s">
        <v>77</v>
      </c>
      <c r="R8" s="61"/>
      <c r="S8" s="62">
        <v>5</v>
      </c>
      <c r="T8" s="62">
        <v>403334</v>
      </c>
      <c r="U8" s="62">
        <f>+S8*T8</f>
        <v>2016670</v>
      </c>
      <c r="V8" s="63"/>
      <c r="X8" s="79" t="s">
        <v>83</v>
      </c>
      <c r="Y8" s="80" t="s">
        <v>84</v>
      </c>
      <c r="Z8" s="80" t="s">
        <v>85</v>
      </c>
    </row>
    <row r="9" spans="1:28" ht="16.5" thickBot="1" x14ac:dyDescent="0.3">
      <c r="B9" s="14" t="s">
        <v>121</v>
      </c>
      <c r="C9" s="49"/>
      <c r="D9" s="49"/>
      <c r="E9" s="49"/>
      <c r="F9" s="70">
        <v>367500</v>
      </c>
      <c r="G9" s="70">
        <v>367500</v>
      </c>
      <c r="H9" s="70">
        <v>367500</v>
      </c>
      <c r="I9" s="14">
        <v>367500</v>
      </c>
      <c r="J9" s="14">
        <v>367500</v>
      </c>
      <c r="K9" s="14">
        <v>367500</v>
      </c>
      <c r="L9" s="14">
        <v>367500</v>
      </c>
      <c r="M9" s="14">
        <v>367500</v>
      </c>
      <c r="N9" s="14">
        <v>367500</v>
      </c>
      <c r="O9" s="64"/>
      <c r="Q9" s="65" t="s">
        <v>78</v>
      </c>
      <c r="R9" s="66"/>
      <c r="S9" s="67">
        <v>5</v>
      </c>
      <c r="T9" s="67">
        <v>605</v>
      </c>
      <c r="U9" s="68">
        <f>+T9*S9</f>
        <v>3025</v>
      </c>
      <c r="V9" s="69">
        <f>+N11*0.0015</f>
        <v>7128</v>
      </c>
      <c r="X9" s="83">
        <f>-(AA17*N8+AA18*N7)</f>
        <v>-173768.22999999998</v>
      </c>
      <c r="Y9" s="84">
        <f>-(AA17*N8+AA19*N7)</f>
        <v>-88401.14</v>
      </c>
      <c r="Z9" s="84">
        <f>-(AA17*N8+AA20*N7)</f>
        <v>-45717.595000000001</v>
      </c>
    </row>
    <row r="10" spans="1:28" x14ac:dyDescent="0.25">
      <c r="O10" s="14"/>
    </row>
    <row r="11" spans="1:28" x14ac:dyDescent="0.25">
      <c r="B11" s="14" t="s">
        <v>79</v>
      </c>
      <c r="C11" s="49"/>
      <c r="D11" s="49"/>
      <c r="E11" s="49"/>
      <c r="F11" s="70">
        <v>2648335</v>
      </c>
      <c r="G11" s="70">
        <v>2431670</v>
      </c>
      <c r="H11" s="70">
        <v>2431670</v>
      </c>
      <c r="I11" s="14">
        <v>2381670</v>
      </c>
      <c r="J11" s="14">
        <v>2295000</v>
      </c>
      <c r="K11" s="14">
        <v>4752000</v>
      </c>
      <c r="L11" s="14">
        <v>4752000</v>
      </c>
      <c r="M11" s="14">
        <v>4752000</v>
      </c>
      <c r="N11" s="14">
        <v>4752000</v>
      </c>
      <c r="O11" s="28"/>
    </row>
    <row r="12" spans="1:28" hidden="1" x14ac:dyDescent="0.25">
      <c r="B12" s="70" t="s">
        <v>114</v>
      </c>
      <c r="C12" s="49"/>
      <c r="D12" s="49"/>
      <c r="E12" s="49"/>
      <c r="F12" s="64">
        <v>4027000</v>
      </c>
      <c r="G12" s="64">
        <v>4027000</v>
      </c>
      <c r="H12" s="64">
        <v>4027000</v>
      </c>
      <c r="I12" s="14">
        <v>4027000</v>
      </c>
      <c r="J12" s="14">
        <v>4027000</v>
      </c>
      <c r="K12" s="14">
        <v>4027000</v>
      </c>
      <c r="L12" s="14">
        <v>4027000</v>
      </c>
      <c r="M12" s="14">
        <v>4027000</v>
      </c>
      <c r="N12" s="14">
        <v>4027000</v>
      </c>
      <c r="O12" s="14"/>
      <c r="P12" s="2"/>
    </row>
    <row r="13" spans="1:28" x14ac:dyDescent="0.25">
      <c r="B13" s="71"/>
      <c r="M13" s="2"/>
      <c r="N13" s="2"/>
      <c r="O13" s="14"/>
      <c r="Q13" s="73" t="s">
        <v>80</v>
      </c>
      <c r="R13" s="74"/>
      <c r="S13" s="74"/>
      <c r="T13" s="74"/>
      <c r="U13" s="75"/>
    </row>
    <row r="14" spans="1:28" x14ac:dyDescent="0.25">
      <c r="B14" s="18" t="s">
        <v>49</v>
      </c>
      <c r="M14" s="103" t="s">
        <v>147</v>
      </c>
      <c r="N14" s="72" t="s">
        <v>123</v>
      </c>
      <c r="O14" s="14"/>
      <c r="Q14" s="76" t="s">
        <v>81</v>
      </c>
      <c r="R14" s="77"/>
      <c r="S14" s="78"/>
    </row>
    <row r="15" spans="1:28" x14ac:dyDescent="0.25">
      <c r="B15" s="14" t="s">
        <v>71</v>
      </c>
      <c r="C15" s="49"/>
      <c r="D15" s="49"/>
      <c r="E15" s="49"/>
      <c r="F15" s="70">
        <v>8964890</v>
      </c>
      <c r="G15" s="70">
        <v>8964890</v>
      </c>
      <c r="H15" s="70">
        <v>8964890</v>
      </c>
      <c r="I15" s="14">
        <v>8964890</v>
      </c>
      <c r="J15" s="14">
        <v>8964890</v>
      </c>
      <c r="K15" s="14">
        <v>8964890</v>
      </c>
      <c r="L15" s="14">
        <v>8964890</v>
      </c>
      <c r="M15" s="14">
        <v>8964890</v>
      </c>
      <c r="N15" s="14">
        <v>8964890</v>
      </c>
      <c r="O15" s="14"/>
      <c r="Q15" s="79" t="s">
        <v>83</v>
      </c>
      <c r="R15" s="80" t="s">
        <v>84</v>
      </c>
      <c r="S15" s="80" t="s">
        <v>85</v>
      </c>
    </row>
    <row r="16" spans="1:28" x14ac:dyDescent="0.25">
      <c r="B16" s="14" t="s">
        <v>82</v>
      </c>
      <c r="C16" s="49"/>
      <c r="D16" s="49"/>
      <c r="E16" s="49"/>
      <c r="F16" s="70">
        <f>G16+G17</f>
        <v>-824701.1649999998</v>
      </c>
      <c r="G16" s="70">
        <f>H16+H17-2</f>
        <v>-764283.56999999983</v>
      </c>
      <c r="H16" s="70">
        <f>I16+I17</f>
        <v>-703863.97499999986</v>
      </c>
      <c r="I16" s="14">
        <f>J16+J17</f>
        <v>-643446.37999999989</v>
      </c>
      <c r="J16" s="14">
        <f>K16+K17</f>
        <v>-583028.78499999992</v>
      </c>
      <c r="K16" s="14">
        <f>L16+L17</f>
        <v>-522611.18999999994</v>
      </c>
      <c r="L16" s="14">
        <f>M16+M17-1</f>
        <v>-462193.59499999997</v>
      </c>
      <c r="M16" s="14">
        <f>N16+N17</f>
        <v>-401775</v>
      </c>
      <c r="N16" s="14">
        <v>-353607</v>
      </c>
      <c r="Q16" s="83">
        <f>-(T19*N8+T21*N7)</f>
        <v>-173768.22999999998</v>
      </c>
      <c r="R16" s="84">
        <f>-(T19*N8+T22*N7)</f>
        <v>-88401.14</v>
      </c>
      <c r="S16" s="84">
        <f>-(T19*I8+T23*I7+I9*T20)</f>
        <v>-60417.595000000001</v>
      </c>
      <c r="X16" s="58" t="s">
        <v>90</v>
      </c>
      <c r="Y16" s="88"/>
      <c r="Z16" s="59" t="s">
        <v>91</v>
      </c>
      <c r="AA16" s="89" t="s">
        <v>92</v>
      </c>
    </row>
    <row r="17" spans="1:27" ht="16.5" thickBot="1" x14ac:dyDescent="0.3">
      <c r="B17" s="14" t="s">
        <v>86</v>
      </c>
      <c r="C17" s="49"/>
      <c r="D17" s="49"/>
      <c r="E17" s="49"/>
      <c r="F17" s="167">
        <f>+$S$16</f>
        <v>-60417.595000000001</v>
      </c>
      <c r="G17" s="167">
        <f>+$S$16</f>
        <v>-60417.595000000001</v>
      </c>
      <c r="H17" s="167">
        <f>+$S$16</f>
        <v>-60417.595000000001</v>
      </c>
      <c r="I17" s="81">
        <f>+S16</f>
        <v>-60417.595000000001</v>
      </c>
      <c r="J17" s="81">
        <f>+S16</f>
        <v>-60417.595000000001</v>
      </c>
      <c r="K17" s="81">
        <f>+S16</f>
        <v>-60417.595000000001</v>
      </c>
      <c r="L17" s="81">
        <f>+S16</f>
        <v>-60417.595000000001</v>
      </c>
      <c r="M17" s="81">
        <f>+S16</f>
        <v>-60417.595000000001</v>
      </c>
      <c r="N17" s="81">
        <v>-48168</v>
      </c>
      <c r="X17" s="90" t="s">
        <v>93</v>
      </c>
      <c r="Y17" s="90"/>
      <c r="Z17" s="90">
        <v>20</v>
      </c>
      <c r="AA17" s="91">
        <f>1/Z17</f>
        <v>0.05</v>
      </c>
    </row>
    <row r="18" spans="1:27" ht="16.5" thickTop="1" x14ac:dyDescent="0.25">
      <c r="B18" s="2"/>
      <c r="E18" s="85" t="s">
        <v>87</v>
      </c>
      <c r="F18" s="168">
        <f t="shared" ref="F18" si="0">SUM(F15:F17)</f>
        <v>8079771.2400000002</v>
      </c>
      <c r="G18" s="168">
        <f t="shared" ref="G18:H18" si="1">SUM(G15:G17)</f>
        <v>8140188.835</v>
      </c>
      <c r="H18" s="168">
        <f t="shared" si="1"/>
        <v>8200608.4300000006</v>
      </c>
      <c r="I18" s="86">
        <f t="shared" ref="I18:N18" si="2">SUM(I15:I17)</f>
        <v>8261026.0250000004</v>
      </c>
      <c r="J18" s="86">
        <f t="shared" si="2"/>
        <v>8321443.6200000001</v>
      </c>
      <c r="K18" s="86">
        <f t="shared" si="2"/>
        <v>8381861.2150000008</v>
      </c>
      <c r="L18" s="86">
        <f t="shared" si="2"/>
        <v>8442278.8099999987</v>
      </c>
      <c r="M18" s="86">
        <f t="shared" si="2"/>
        <v>8502697.4049999993</v>
      </c>
      <c r="N18" s="86">
        <f t="shared" si="2"/>
        <v>8563115</v>
      </c>
      <c r="O18" s="47"/>
      <c r="Q18" s="58" t="s">
        <v>90</v>
      </c>
      <c r="R18" s="88"/>
      <c r="S18" s="59" t="s">
        <v>91</v>
      </c>
      <c r="T18" s="89" t="s">
        <v>92</v>
      </c>
      <c r="X18" s="90" t="s">
        <v>96</v>
      </c>
      <c r="Y18" s="90"/>
      <c r="Z18" s="90">
        <v>50</v>
      </c>
      <c r="AA18" s="92">
        <f>1/Z18</f>
        <v>0.02</v>
      </c>
    </row>
    <row r="19" spans="1:27" x14ac:dyDescent="0.25">
      <c r="B19" s="14"/>
      <c r="D19" s="14"/>
      <c r="E19" s="14"/>
      <c r="F19" s="64"/>
      <c r="G19" s="64"/>
      <c r="H19" s="64"/>
      <c r="I19" s="14"/>
      <c r="J19" s="14"/>
      <c r="K19" s="14"/>
      <c r="L19" s="14"/>
      <c r="M19" s="14"/>
      <c r="N19" s="14"/>
      <c r="Q19" s="90" t="s">
        <v>93</v>
      </c>
      <c r="R19" s="90"/>
      <c r="S19" s="90">
        <v>20</v>
      </c>
      <c r="T19" s="92">
        <f>1/S19</f>
        <v>0.05</v>
      </c>
      <c r="X19" s="90" t="s">
        <v>96</v>
      </c>
      <c r="Y19" s="90"/>
      <c r="Z19" s="90">
        <v>100</v>
      </c>
      <c r="AA19" s="92">
        <f>1/Z19</f>
        <v>0.01</v>
      </c>
    </row>
    <row r="20" spans="1:27" x14ac:dyDescent="0.25">
      <c r="A20" s="46" t="s">
        <v>88</v>
      </c>
      <c r="B20" s="18" t="s">
        <v>14</v>
      </c>
      <c r="M20" s="87"/>
      <c r="N20" s="87"/>
      <c r="Q20" s="97" t="s">
        <v>128</v>
      </c>
      <c r="R20" s="98"/>
      <c r="S20" s="99">
        <v>25</v>
      </c>
      <c r="T20" s="92">
        <v>0.04</v>
      </c>
      <c r="U20" t="s">
        <v>129</v>
      </c>
      <c r="X20" s="90" t="s">
        <v>96</v>
      </c>
      <c r="Y20" s="90"/>
      <c r="Z20" s="90">
        <v>200</v>
      </c>
      <c r="AA20" s="92">
        <f>1/Z20</f>
        <v>5.0000000000000001E-3</v>
      </c>
    </row>
    <row r="21" spans="1:27" x14ac:dyDescent="0.25">
      <c r="B21" s="227" t="s">
        <v>89</v>
      </c>
      <c r="C21" s="228"/>
      <c r="D21" s="228"/>
      <c r="E21" s="228"/>
      <c r="F21" s="70">
        <f t="shared" ref="F21:M21" si="3">+G6-G7</f>
        <v>1542051</v>
      </c>
      <c r="G21" s="70">
        <f t="shared" si="3"/>
        <v>1542051</v>
      </c>
      <c r="H21" s="70">
        <f t="shared" si="3"/>
        <v>1542051</v>
      </c>
      <c r="I21" s="14">
        <f t="shared" si="3"/>
        <v>1542051</v>
      </c>
      <c r="J21" s="14">
        <f t="shared" si="3"/>
        <v>1542051</v>
      </c>
      <c r="K21" s="14">
        <f t="shared" si="3"/>
        <v>1542051</v>
      </c>
      <c r="L21" s="14">
        <f t="shared" si="3"/>
        <v>1542051</v>
      </c>
      <c r="M21" s="14">
        <f t="shared" si="3"/>
        <v>1542051</v>
      </c>
      <c r="N21" s="14">
        <v>1542051</v>
      </c>
      <c r="Q21" s="90" t="s">
        <v>96</v>
      </c>
      <c r="R21" s="90"/>
      <c r="S21" s="90">
        <v>50</v>
      </c>
      <c r="T21" s="92">
        <f>1/S21</f>
        <v>0.02</v>
      </c>
    </row>
    <row r="22" spans="1:27" x14ac:dyDescent="0.25">
      <c r="B22" s="94"/>
      <c r="C22" s="95"/>
      <c r="D22" s="95"/>
      <c r="E22" s="95"/>
      <c r="F22" s="64"/>
      <c r="G22" s="64"/>
      <c r="H22" s="64"/>
      <c r="I22" s="14"/>
      <c r="J22" s="14"/>
      <c r="K22" s="14"/>
      <c r="L22" s="14"/>
      <c r="M22" s="14"/>
      <c r="N22" s="14"/>
      <c r="Q22" s="90" t="s">
        <v>96</v>
      </c>
      <c r="R22" s="90"/>
      <c r="S22" s="90">
        <v>100</v>
      </c>
      <c r="T22" s="92">
        <f>1/S22</f>
        <v>0.01</v>
      </c>
    </row>
    <row r="23" spans="1:27" x14ac:dyDescent="0.25">
      <c r="A23" s="46" t="s">
        <v>94</v>
      </c>
      <c r="B23" s="18" t="s">
        <v>187</v>
      </c>
      <c r="C23" s="95"/>
      <c r="D23" s="95"/>
      <c r="E23" s="95"/>
      <c r="F23" s="165"/>
      <c r="G23" s="165"/>
      <c r="H23" s="165"/>
      <c r="I23" s="144"/>
      <c r="J23" s="14"/>
      <c r="K23" s="14"/>
      <c r="L23" s="14"/>
      <c r="M23" s="14"/>
      <c r="N23" s="14"/>
      <c r="Q23" s="90" t="s">
        <v>96</v>
      </c>
      <c r="R23" s="90"/>
      <c r="S23" s="90">
        <v>200</v>
      </c>
      <c r="T23" s="92">
        <f>1/S23</f>
        <v>5.0000000000000001E-3</v>
      </c>
    </row>
    <row r="24" spans="1:27" x14ac:dyDescent="0.25">
      <c r="B24" s="94" t="s">
        <v>188</v>
      </c>
      <c r="C24" s="95"/>
      <c r="D24" s="95"/>
      <c r="E24" s="95"/>
      <c r="F24" s="70">
        <f>S34</f>
        <v>132631.87</v>
      </c>
      <c r="G24" s="70">
        <f>S34</f>
        <v>132631.87</v>
      </c>
      <c r="H24" s="70">
        <f>132272+360</f>
        <v>132632</v>
      </c>
      <c r="I24" s="14">
        <v>87749</v>
      </c>
      <c r="J24" s="14"/>
      <c r="K24" s="14"/>
      <c r="L24" s="14"/>
      <c r="M24" s="14"/>
      <c r="N24" s="14"/>
      <c r="T24" s="100"/>
    </row>
    <row r="25" spans="1:27" x14ac:dyDescent="0.25">
      <c r="B25" s="14" t="s">
        <v>82</v>
      </c>
      <c r="C25" s="95"/>
      <c r="D25" s="95"/>
      <c r="E25" s="95"/>
      <c r="F25" s="70">
        <f>G25+G26</f>
        <v>-71356.148000000001</v>
      </c>
      <c r="G25" s="70">
        <f>H25+H26</f>
        <v>-57514.074000000001</v>
      </c>
      <c r="H25" s="70">
        <f>I25+I26-360</f>
        <v>-43672</v>
      </c>
      <c r="I25" s="14">
        <f>-38374</f>
        <v>-38374</v>
      </c>
      <c r="J25" s="14"/>
      <c r="K25" s="14"/>
      <c r="L25" s="14"/>
      <c r="M25" s="14"/>
      <c r="N25" s="14"/>
    </row>
    <row r="26" spans="1:27" ht="16.5" thickBot="1" x14ac:dyDescent="0.3">
      <c r="B26" s="14" t="s">
        <v>86</v>
      </c>
      <c r="C26" s="95"/>
      <c r="D26" s="95"/>
      <c r="E26" s="95"/>
      <c r="F26" s="167">
        <f>-W34</f>
        <v>-13842.074000000001</v>
      </c>
      <c r="G26" s="167">
        <f>-W34</f>
        <v>-13842.074000000001</v>
      </c>
      <c r="H26" s="167">
        <f>-W34</f>
        <v>-13842.074000000001</v>
      </c>
      <c r="I26" s="81">
        <v>-4938</v>
      </c>
      <c r="J26" s="14"/>
      <c r="K26" s="14"/>
      <c r="L26" s="14"/>
      <c r="M26" s="14"/>
      <c r="N26" s="14"/>
      <c r="Q26" s="8" t="s">
        <v>202</v>
      </c>
    </row>
    <row r="27" spans="1:27" ht="24.6" customHeight="1" thickTop="1" x14ac:dyDescent="0.25">
      <c r="B27" s="94"/>
      <c r="C27" s="95"/>
      <c r="D27" s="95"/>
      <c r="E27" s="95"/>
      <c r="F27" s="168">
        <f t="shared" ref="F27:G27" si="4">SUM(F24:F26)</f>
        <v>47433.647999999994</v>
      </c>
      <c r="G27" s="168">
        <f t="shared" si="4"/>
        <v>61275.722000000002</v>
      </c>
      <c r="H27" s="168">
        <f t="shared" ref="H27:I27" si="5">SUM(H24:H26)</f>
        <v>75117.926000000007</v>
      </c>
      <c r="I27" s="86">
        <f t="shared" si="5"/>
        <v>44437</v>
      </c>
      <c r="J27" s="14"/>
      <c r="K27" s="14"/>
      <c r="L27" s="14"/>
      <c r="M27" s="14"/>
      <c r="N27" s="14"/>
      <c r="Q27" s="58" t="s">
        <v>90</v>
      </c>
      <c r="R27" s="88"/>
      <c r="S27" s="88" t="s">
        <v>201</v>
      </c>
      <c r="T27" s="147" t="s">
        <v>189</v>
      </c>
      <c r="U27" s="147" t="s">
        <v>190</v>
      </c>
      <c r="V27" s="148" t="s">
        <v>92</v>
      </c>
      <c r="W27" s="150" t="s">
        <v>86</v>
      </c>
    </row>
    <row r="28" spans="1:27" x14ac:dyDescent="0.25">
      <c r="B28" s="94"/>
      <c r="C28" s="95"/>
      <c r="D28" s="95"/>
      <c r="E28" s="95"/>
      <c r="F28" s="166"/>
      <c r="G28" s="166"/>
      <c r="H28" s="166"/>
      <c r="I28" s="95"/>
      <c r="J28" s="95"/>
      <c r="K28" s="95"/>
      <c r="L28" s="95"/>
      <c r="M28" s="14"/>
      <c r="N28" s="14"/>
      <c r="Q28" s="138" t="s">
        <v>191</v>
      </c>
      <c r="R28" s="138"/>
      <c r="S28" s="140">
        <v>49375</v>
      </c>
      <c r="T28" s="136">
        <v>2020</v>
      </c>
      <c r="U28" s="136">
        <v>10</v>
      </c>
      <c r="V28" s="137">
        <f>1/U28</f>
        <v>0.1</v>
      </c>
      <c r="W28" s="149">
        <f>S28*V28</f>
        <v>4937.5</v>
      </c>
    </row>
    <row r="29" spans="1:27" x14ac:dyDescent="0.25">
      <c r="A29" s="46" t="s">
        <v>100</v>
      </c>
      <c r="B29" s="46" t="s">
        <v>245</v>
      </c>
      <c r="Q29" s="97" t="s">
        <v>210</v>
      </c>
      <c r="R29" s="135"/>
      <c r="S29" s="140">
        <v>44522.87</v>
      </c>
      <c r="T29" s="136">
        <v>2021</v>
      </c>
      <c r="U29" s="136">
        <v>5</v>
      </c>
      <c r="V29" s="137">
        <f>1/U29</f>
        <v>0.2</v>
      </c>
      <c r="W29" s="149">
        <f>S29*V29</f>
        <v>8904.5740000000005</v>
      </c>
    </row>
    <row r="30" spans="1:27" x14ac:dyDescent="0.25">
      <c r="B30" s="49" t="s">
        <v>97</v>
      </c>
      <c r="C30" s="49"/>
      <c r="D30" s="49"/>
      <c r="E30" s="49"/>
      <c r="F30" s="70">
        <f>11585-2041</f>
        <v>9544</v>
      </c>
      <c r="G30" s="70">
        <v>7503</v>
      </c>
      <c r="H30" s="70">
        <f>11585-2021-20</f>
        <v>9544</v>
      </c>
      <c r="I30" s="70">
        <f>11585-2021-20</f>
        <v>9544</v>
      </c>
      <c r="J30" s="70">
        <v>11585</v>
      </c>
      <c r="K30" s="70">
        <v>11585</v>
      </c>
      <c r="L30" s="70">
        <v>11585</v>
      </c>
      <c r="M30" s="14">
        <v>11585</v>
      </c>
      <c r="N30" s="14">
        <v>11585</v>
      </c>
      <c r="Q30" s="97" t="s">
        <v>211</v>
      </c>
      <c r="R30" s="135"/>
      <c r="S30" s="171">
        <f>38374+360</f>
        <v>38734</v>
      </c>
      <c r="T30" s="90"/>
      <c r="U30" s="90"/>
      <c r="V30" s="92"/>
      <c r="W30" s="92"/>
    </row>
    <row r="31" spans="1:27" x14ac:dyDescent="0.25">
      <c r="B31" s="49" t="s">
        <v>152</v>
      </c>
      <c r="C31" s="49"/>
      <c r="D31" s="49"/>
      <c r="E31" s="49"/>
      <c r="F31" s="70">
        <f>6020+1198</f>
        <v>7218</v>
      </c>
      <c r="G31" s="70">
        <f>6518+3198</f>
        <v>9716</v>
      </c>
      <c r="H31" s="70">
        <f>6704+4042</f>
        <v>10746</v>
      </c>
      <c r="I31" s="70">
        <f>5393+1761</f>
        <v>7154</v>
      </c>
      <c r="J31" s="70">
        <v>6960</v>
      </c>
      <c r="K31" s="70">
        <v>7100</v>
      </c>
      <c r="L31" s="70">
        <v>6723</v>
      </c>
      <c r="M31" s="14">
        <f>1302+4874+4806</f>
        <v>10982</v>
      </c>
      <c r="N31" s="14">
        <f>13480-3073</f>
        <v>10407</v>
      </c>
      <c r="Q31" s="97"/>
      <c r="R31" s="135"/>
      <c r="S31" s="135"/>
      <c r="T31" s="90"/>
      <c r="U31" s="90"/>
      <c r="V31" s="92"/>
      <c r="W31" s="92"/>
    </row>
    <row r="32" spans="1:27" x14ac:dyDescent="0.25">
      <c r="B32" s="49" t="s">
        <v>138</v>
      </c>
      <c r="C32" s="49"/>
      <c r="D32" s="49"/>
      <c r="E32" s="49"/>
      <c r="F32" s="70">
        <f>7595+117</f>
        <v>7712</v>
      </c>
      <c r="G32" s="70">
        <v>7407</v>
      </c>
      <c r="H32" s="70">
        <f>7145+77</f>
        <v>7222</v>
      </c>
      <c r="I32" s="70">
        <v>6959</v>
      </c>
      <c r="J32" s="70">
        <v>6757</v>
      </c>
      <c r="K32" s="70">
        <v>3320</v>
      </c>
      <c r="L32" s="70">
        <v>3206</v>
      </c>
      <c r="M32" s="14">
        <v>3138</v>
      </c>
      <c r="N32" s="14">
        <v>3073</v>
      </c>
      <c r="Q32" s="139"/>
      <c r="R32" s="134"/>
      <c r="S32" s="134"/>
      <c r="T32" s="90"/>
      <c r="U32" s="90"/>
      <c r="V32" s="92"/>
      <c r="W32" s="92"/>
    </row>
    <row r="33" spans="1:23" x14ac:dyDescent="0.25">
      <c r="B33" s="49" t="s">
        <v>238</v>
      </c>
      <c r="C33" s="49"/>
      <c r="D33" s="49"/>
      <c r="E33" s="49"/>
      <c r="F33" s="70">
        <v>-3890</v>
      </c>
      <c r="G33" s="70"/>
      <c r="H33" s="70"/>
      <c r="I33" s="70"/>
      <c r="J33" s="70"/>
      <c r="K33" s="70"/>
      <c r="L33" s="70"/>
      <c r="M33" s="14"/>
      <c r="N33" s="14"/>
      <c r="V33" s="100"/>
      <c r="W33" s="100"/>
    </row>
    <row r="34" spans="1:23" x14ac:dyDescent="0.25">
      <c r="B34" s="49" t="s">
        <v>218</v>
      </c>
      <c r="C34" s="49"/>
      <c r="D34" s="49"/>
      <c r="E34" s="49"/>
      <c r="F34" s="70"/>
      <c r="G34" s="70"/>
      <c r="H34" s="70">
        <v>2037.5</v>
      </c>
      <c r="I34" s="70"/>
      <c r="J34" s="70"/>
      <c r="K34" s="70"/>
      <c r="L34" s="64"/>
      <c r="M34" s="14">
        <v>1125</v>
      </c>
      <c r="N34" s="14"/>
      <c r="Q34" t="s">
        <v>99</v>
      </c>
      <c r="S34" s="169">
        <f>SUM(S28:S32)</f>
        <v>132631.87</v>
      </c>
      <c r="W34" s="170">
        <f>SUM(W28:W32)</f>
        <v>13842.074000000001</v>
      </c>
    </row>
    <row r="35" spans="1:23" x14ac:dyDescent="0.25">
      <c r="B35" s="49" t="s">
        <v>242</v>
      </c>
      <c r="C35" s="49"/>
      <c r="D35" s="49"/>
      <c r="E35" s="49"/>
      <c r="F35" s="70">
        <f>594+45</f>
        <v>639</v>
      </c>
      <c r="G35" s="70"/>
      <c r="H35" s="70"/>
      <c r="I35" s="70"/>
      <c r="J35" s="70"/>
      <c r="K35" s="64"/>
      <c r="L35" s="64"/>
      <c r="M35" s="14">
        <v>3200</v>
      </c>
      <c r="N35" s="14"/>
    </row>
    <row r="36" spans="1:23" ht="16.5" thickBot="1" x14ac:dyDescent="0.3">
      <c r="E36" s="85" t="s">
        <v>99</v>
      </c>
      <c r="F36" s="129">
        <f>SUM(F30:F35)</f>
        <v>21223</v>
      </c>
      <c r="G36" s="129">
        <f>SUM(G30:G35)</f>
        <v>24626</v>
      </c>
      <c r="H36" s="129">
        <f>SUM(H30:H35)</f>
        <v>29549.5</v>
      </c>
      <c r="I36" s="129">
        <f t="shared" ref="I36:N36" si="6">SUM(I30:I35)</f>
        <v>23657</v>
      </c>
      <c r="J36" s="129">
        <f t="shared" si="6"/>
        <v>25302</v>
      </c>
      <c r="K36" s="101">
        <f t="shared" si="6"/>
        <v>22005</v>
      </c>
      <c r="L36" s="101">
        <f t="shared" si="6"/>
        <v>21514</v>
      </c>
      <c r="M36" s="101">
        <f t="shared" si="6"/>
        <v>30030</v>
      </c>
      <c r="N36" s="101">
        <f t="shared" si="6"/>
        <v>25065</v>
      </c>
    </row>
    <row r="37" spans="1:23" ht="16.5" thickTop="1" x14ac:dyDescent="0.25"/>
    <row r="38" spans="1:23" x14ac:dyDescent="0.25">
      <c r="A38" s="46" t="s">
        <v>104</v>
      </c>
      <c r="B38" s="46" t="s">
        <v>38</v>
      </c>
      <c r="M38" s="87"/>
      <c r="N38" s="87"/>
    </row>
    <row r="39" spans="1:23" x14ac:dyDescent="0.25">
      <c r="B39" s="49" t="s">
        <v>112</v>
      </c>
      <c r="C39" s="49"/>
      <c r="D39" s="49"/>
      <c r="E39" s="49"/>
      <c r="F39" s="70">
        <f>10080000+23380</f>
        <v>10103380</v>
      </c>
      <c r="G39" s="70">
        <v>10080000</v>
      </c>
      <c r="H39" s="70">
        <v>10080000</v>
      </c>
      <c r="I39" s="14">
        <v>10080000</v>
      </c>
      <c r="J39" s="14">
        <v>10080000</v>
      </c>
      <c r="K39" s="14">
        <v>10080000</v>
      </c>
      <c r="L39" s="14">
        <v>10080000</v>
      </c>
      <c r="M39" s="14">
        <v>10080000</v>
      </c>
      <c r="N39" s="14">
        <v>10080000</v>
      </c>
    </row>
  </sheetData>
  <mergeCells count="3">
    <mergeCell ref="B3:N4"/>
    <mergeCell ref="V6:V7"/>
    <mergeCell ref="B21:E21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3"/>
  <sheetViews>
    <sheetView topLeftCell="A3" workbookViewId="0">
      <selection activeCell="E11" sqref="E11"/>
    </sheetView>
  </sheetViews>
  <sheetFormatPr defaultRowHeight="15.75" x14ac:dyDescent="0.25"/>
  <cols>
    <col min="1" max="1" width="7.42578125" style="46" customWidth="1"/>
    <col min="2" max="2" width="28.140625" customWidth="1"/>
    <col min="3" max="3" width="6.7109375" customWidth="1"/>
    <col min="4" max="4" width="8.5703125" customWidth="1"/>
    <col min="5" max="9" width="13.42578125" customWidth="1"/>
    <col min="10" max="11" width="13.28515625" customWidth="1"/>
    <col min="12" max="12" width="10.7109375" hidden="1" customWidth="1"/>
    <col min="13" max="14" width="13" hidden="1" customWidth="1"/>
    <col min="15" max="15" width="6.5703125" hidden="1" customWidth="1"/>
    <col min="16" max="16" width="8.85546875" customWidth="1"/>
    <col min="17" max="17" width="9.28515625" customWidth="1"/>
    <col min="18" max="18" width="9.140625" customWidth="1"/>
    <col min="19" max="19" width="8.5703125" customWidth="1"/>
    <col min="20" max="20" width="10.7109375" customWidth="1"/>
    <col min="21" max="21" width="9.5703125" customWidth="1"/>
    <col min="22" max="29" width="8.85546875" customWidth="1"/>
  </cols>
  <sheetData>
    <row r="1" spans="1:28" ht="21" x14ac:dyDescent="0.35">
      <c r="A1" s="45" t="s">
        <v>229</v>
      </c>
    </row>
    <row r="2" spans="1:28" x14ac:dyDescent="0.25">
      <c r="B2" s="18"/>
    </row>
    <row r="3" spans="1:28" x14ac:dyDescent="0.25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1:28" ht="16.5" thickBot="1" x14ac:dyDescent="0.3">
      <c r="B4" s="46" t="s">
        <v>158</v>
      </c>
      <c r="F4" s="103" t="s">
        <v>228</v>
      </c>
      <c r="G4" s="103" t="s">
        <v>220</v>
      </c>
      <c r="H4" s="103" t="s">
        <v>209</v>
      </c>
      <c r="I4" s="103" t="s">
        <v>182</v>
      </c>
      <c r="J4" s="103" t="s">
        <v>179</v>
      </c>
      <c r="K4" s="103" t="s">
        <v>157</v>
      </c>
      <c r="M4" s="48"/>
    </row>
    <row r="5" spans="1:28" ht="15.6" customHeight="1" x14ac:dyDescent="0.25">
      <c r="B5" s="14"/>
      <c r="C5" s="49"/>
      <c r="D5" s="49"/>
      <c r="F5" s="14"/>
      <c r="G5" s="14"/>
      <c r="H5" s="14"/>
      <c r="I5" s="14"/>
      <c r="J5" s="14"/>
      <c r="K5" s="14"/>
      <c r="L5" s="14"/>
      <c r="M5" s="14"/>
      <c r="N5" s="14"/>
      <c r="Q5" s="50" t="s">
        <v>62</v>
      </c>
      <c r="R5" s="51"/>
      <c r="S5" s="52" t="s">
        <v>69</v>
      </c>
      <c r="T5" s="53"/>
      <c r="U5" s="53"/>
      <c r="V5" s="225" t="s">
        <v>197</v>
      </c>
      <c r="X5" s="73" t="s">
        <v>80</v>
      </c>
      <c r="Y5" s="74"/>
      <c r="Z5" s="74"/>
      <c r="AA5" s="74"/>
      <c r="AB5" s="75"/>
    </row>
    <row r="6" spans="1:28" x14ac:dyDescent="0.25">
      <c r="B6" s="14" t="s">
        <v>71</v>
      </c>
      <c r="C6" s="110">
        <v>5.0000000000000001E-3</v>
      </c>
      <c r="D6" s="109"/>
      <c r="F6" s="205">
        <v>8536709</v>
      </c>
      <c r="G6" s="205">
        <v>8536709</v>
      </c>
      <c r="H6" s="205">
        <v>8536709</v>
      </c>
      <c r="I6" s="205">
        <v>8536709</v>
      </c>
      <c r="J6" s="205">
        <v>8536709</v>
      </c>
      <c r="K6" s="205">
        <v>8536709</v>
      </c>
      <c r="L6" s="14">
        <v>8536709</v>
      </c>
      <c r="M6" s="14">
        <v>8536709</v>
      </c>
      <c r="N6" s="14">
        <v>8536709</v>
      </c>
      <c r="Q6" s="56"/>
      <c r="R6" s="57"/>
      <c r="S6" s="58" t="s">
        <v>73</v>
      </c>
      <c r="T6" s="59" t="s">
        <v>74</v>
      </c>
      <c r="U6" s="59" t="s">
        <v>75</v>
      </c>
      <c r="V6" s="229"/>
      <c r="X6" s="76" t="s">
        <v>81</v>
      </c>
      <c r="Y6" s="77"/>
      <c r="Z6" s="78"/>
    </row>
    <row r="7" spans="1:28" x14ac:dyDescent="0.25">
      <c r="B7" s="14" t="s">
        <v>154</v>
      </c>
      <c r="C7" s="111">
        <v>0.05</v>
      </c>
      <c r="D7" s="49"/>
      <c r="F7" s="205">
        <v>60681</v>
      </c>
      <c r="G7" s="205">
        <v>60681</v>
      </c>
      <c r="H7" s="205">
        <v>60681</v>
      </c>
      <c r="I7" s="205">
        <v>60681</v>
      </c>
      <c r="J7" s="205">
        <v>60681</v>
      </c>
      <c r="K7" s="205">
        <v>60681</v>
      </c>
      <c r="L7" s="14">
        <v>60681</v>
      </c>
      <c r="M7" s="14">
        <v>60681</v>
      </c>
      <c r="N7" s="14">
        <v>60681</v>
      </c>
      <c r="O7" s="14"/>
      <c r="Q7" s="60" t="s">
        <v>77</v>
      </c>
      <c r="R7" s="61"/>
      <c r="S7" s="62">
        <v>5</v>
      </c>
      <c r="T7" s="62">
        <v>403334</v>
      </c>
      <c r="U7" s="62">
        <f>+S7*T7</f>
        <v>2016670</v>
      </c>
      <c r="V7" s="63"/>
      <c r="X7" s="79" t="s">
        <v>83</v>
      </c>
      <c r="Y7" s="80" t="s">
        <v>84</v>
      </c>
      <c r="Z7" s="80" t="s">
        <v>85</v>
      </c>
    </row>
    <row r="8" spans="1:28" ht="16.5" thickBot="1" x14ac:dyDescent="0.3">
      <c r="B8" s="14" t="s">
        <v>155</v>
      </c>
      <c r="C8" s="111">
        <v>0.04</v>
      </c>
      <c r="D8" s="49"/>
      <c r="F8" s="205">
        <v>367500</v>
      </c>
      <c r="G8" s="205">
        <v>367500</v>
      </c>
      <c r="H8" s="205">
        <v>367500</v>
      </c>
      <c r="I8" s="205">
        <v>367500</v>
      </c>
      <c r="J8" s="205">
        <v>367500</v>
      </c>
      <c r="K8" s="205">
        <v>367500</v>
      </c>
      <c r="L8" s="14">
        <v>367500</v>
      </c>
      <c r="M8" s="14">
        <v>367500</v>
      </c>
      <c r="N8" s="14">
        <v>367500</v>
      </c>
      <c r="O8" s="64"/>
      <c r="Q8" s="65" t="s">
        <v>78</v>
      </c>
      <c r="R8" s="66"/>
      <c r="S8" s="67">
        <v>5</v>
      </c>
      <c r="T8" s="67">
        <v>605</v>
      </c>
      <c r="U8" s="68">
        <f>+T8*S8</f>
        <v>3025</v>
      </c>
      <c r="V8" s="69">
        <f>+J11*0.003</f>
        <v>6885</v>
      </c>
      <c r="X8" s="83">
        <f>-(AA16*N7+AA17*N6)</f>
        <v>-173768.22999999998</v>
      </c>
      <c r="Y8" s="84">
        <f>-(AA16*N7+AA18*N6)</f>
        <v>-88401.14</v>
      </c>
      <c r="Z8" s="84">
        <f>-(AA16*N7+AA19*N6)</f>
        <v>-45717.595000000001</v>
      </c>
    </row>
    <row r="9" spans="1:28" ht="16.5" thickBot="1" x14ac:dyDescent="0.3">
      <c r="B9" s="115" t="s">
        <v>156</v>
      </c>
      <c r="F9" s="204">
        <f t="shared" ref="F9:K9" si="0">SUM(F6:F8)</f>
        <v>8964890</v>
      </c>
      <c r="G9" s="204">
        <f t="shared" si="0"/>
        <v>8964890</v>
      </c>
      <c r="H9" s="204">
        <f t="shared" si="0"/>
        <v>8964890</v>
      </c>
      <c r="I9" s="204">
        <f t="shared" si="0"/>
        <v>8964890</v>
      </c>
      <c r="J9" s="204">
        <f t="shared" si="0"/>
        <v>8964890</v>
      </c>
      <c r="K9" s="204">
        <f t="shared" si="0"/>
        <v>8964890</v>
      </c>
      <c r="O9" s="14"/>
    </row>
    <row r="10" spans="1:28" ht="16.5" thickTop="1" x14ac:dyDescent="0.25">
      <c r="B10" s="115"/>
      <c r="F10" s="206"/>
      <c r="G10" s="206"/>
      <c r="H10" s="206"/>
      <c r="I10" s="206"/>
      <c r="J10" s="206"/>
      <c r="K10" s="206"/>
      <c r="O10" s="14"/>
    </row>
    <row r="11" spans="1:28" x14ac:dyDescent="0.25">
      <c r="B11" s="14" t="s">
        <v>79</v>
      </c>
      <c r="C11" s="49"/>
      <c r="D11" s="49"/>
      <c r="F11" s="222">
        <f>'NOTER 2023'!F11</f>
        <v>2648335</v>
      </c>
      <c r="G11" s="205">
        <f>'NOTER 2023'!G11</f>
        <v>2431670</v>
      </c>
      <c r="H11" s="205">
        <v>2431670</v>
      </c>
      <c r="I11" s="205">
        <v>2381670</v>
      </c>
      <c r="J11" s="205">
        <v>2295000</v>
      </c>
      <c r="K11" s="205">
        <v>2295000</v>
      </c>
      <c r="L11" s="14">
        <v>4752000</v>
      </c>
      <c r="M11" s="14">
        <v>4752000</v>
      </c>
      <c r="N11" s="14">
        <v>4752000</v>
      </c>
      <c r="O11" s="28"/>
    </row>
    <row r="12" spans="1:28" hidden="1" x14ac:dyDescent="0.25">
      <c r="B12" s="70" t="s">
        <v>114</v>
      </c>
      <c r="C12" s="49"/>
      <c r="D12" s="49"/>
      <c r="F12" s="205">
        <v>4027000</v>
      </c>
      <c r="G12" s="205">
        <v>4027000</v>
      </c>
      <c r="H12" s="205">
        <v>4027000</v>
      </c>
      <c r="I12" s="205">
        <v>4027000</v>
      </c>
      <c r="J12" s="205">
        <v>4027000</v>
      </c>
      <c r="K12" s="205">
        <v>4027000</v>
      </c>
      <c r="L12" s="14">
        <v>4027000</v>
      </c>
      <c r="M12" s="14">
        <v>4027000</v>
      </c>
      <c r="N12" s="14">
        <v>4027000</v>
      </c>
      <c r="O12" s="14"/>
      <c r="P12" s="2"/>
    </row>
    <row r="13" spans="1:28" x14ac:dyDescent="0.25">
      <c r="B13" s="71"/>
      <c r="F13" s="207"/>
      <c r="G13" s="207"/>
      <c r="H13" s="207"/>
      <c r="I13" s="207"/>
      <c r="J13" s="207"/>
      <c r="K13" s="207"/>
      <c r="M13" s="2"/>
      <c r="N13" s="2"/>
      <c r="O13" s="14"/>
      <c r="Q13" s="73" t="s">
        <v>80</v>
      </c>
      <c r="R13" s="74"/>
      <c r="S13" s="74"/>
      <c r="T13" s="74"/>
      <c r="U13" s="75"/>
    </row>
    <row r="14" spans="1:28" x14ac:dyDescent="0.25">
      <c r="B14" s="18" t="s">
        <v>163</v>
      </c>
      <c r="F14" s="207"/>
      <c r="G14" s="207"/>
      <c r="H14" s="207"/>
      <c r="I14" s="207"/>
      <c r="J14" s="207"/>
      <c r="K14" s="207"/>
      <c r="L14" s="103" t="s">
        <v>146</v>
      </c>
      <c r="M14" s="103" t="s">
        <v>147</v>
      </c>
      <c r="N14" s="72" t="s">
        <v>123</v>
      </c>
      <c r="O14" s="14"/>
      <c r="Q14" s="76" t="s">
        <v>81</v>
      </c>
      <c r="R14" s="77"/>
      <c r="S14" s="78"/>
    </row>
    <row r="15" spans="1:28" x14ac:dyDescent="0.25">
      <c r="B15" s="14" t="s">
        <v>82</v>
      </c>
      <c r="C15" s="49"/>
      <c r="D15" s="49"/>
      <c r="F15" s="205">
        <f>G15+G16</f>
        <v>-824701.1649999998</v>
      </c>
      <c r="G15" s="205">
        <f>H15+H16-1</f>
        <v>-764283.56999999983</v>
      </c>
      <c r="H15" s="205">
        <f>I15+I16</f>
        <v>-703864.97499999986</v>
      </c>
      <c r="I15" s="205">
        <f>J15+J16</f>
        <v>-643447.37999999989</v>
      </c>
      <c r="J15" s="205">
        <f>K15+K16</f>
        <v>-583029.78499999992</v>
      </c>
      <c r="K15" s="205">
        <f>L15+L16-1</f>
        <v>-522612.18999999994</v>
      </c>
      <c r="L15" s="14">
        <f>M15+M16-1</f>
        <v>-462193.59499999997</v>
      </c>
      <c r="M15" s="14">
        <f>N15+N16</f>
        <v>-401775</v>
      </c>
      <c r="N15" s="14">
        <v>-353607</v>
      </c>
      <c r="Q15" s="83">
        <f>-(T42*N7+T47*N6)</f>
        <v>-173768.22999999998</v>
      </c>
      <c r="R15" s="84">
        <f>-(T42*N7+T49*N6)</f>
        <v>-88401.14</v>
      </c>
      <c r="S15" s="84">
        <f>-(T42*K7+T50*K6+K8*T45)</f>
        <v>-60417.595000000001</v>
      </c>
      <c r="X15" s="58" t="s">
        <v>90</v>
      </c>
      <c r="Y15" s="88"/>
      <c r="Z15" s="59" t="s">
        <v>91</v>
      </c>
      <c r="AA15" s="89" t="s">
        <v>92</v>
      </c>
    </row>
    <row r="16" spans="1:28" ht="16.5" thickBot="1" x14ac:dyDescent="0.3">
      <c r="B16" s="14" t="s">
        <v>86</v>
      </c>
      <c r="C16" s="49"/>
      <c r="D16" s="49"/>
      <c r="F16" s="205">
        <f>'NOTER 2023'!S16</f>
        <v>-60417.595000000001</v>
      </c>
      <c r="G16" s="205">
        <f>'NOTER 2023'!S16</f>
        <v>-60417.595000000001</v>
      </c>
      <c r="H16" s="205">
        <f>+S15</f>
        <v>-60417.595000000001</v>
      </c>
      <c r="I16" s="205">
        <f>+S15</f>
        <v>-60417.595000000001</v>
      </c>
      <c r="J16" s="205">
        <f>+S15</f>
        <v>-60417.595000000001</v>
      </c>
      <c r="K16" s="205">
        <f>+S15</f>
        <v>-60417.595000000001</v>
      </c>
      <c r="L16" s="81">
        <f>+S15</f>
        <v>-60417.595000000001</v>
      </c>
      <c r="M16" s="81">
        <f>+S15</f>
        <v>-60417.595000000001</v>
      </c>
      <c r="N16" s="81">
        <v>-48168</v>
      </c>
      <c r="X16" s="90" t="s">
        <v>93</v>
      </c>
      <c r="Y16" s="90"/>
      <c r="Z16" s="90">
        <v>20</v>
      </c>
      <c r="AA16" s="91">
        <f>1/Z16</f>
        <v>0.05</v>
      </c>
    </row>
    <row r="17" spans="2:27" ht="17.25" thickTop="1" thickBot="1" x14ac:dyDescent="0.3">
      <c r="B17" s="19" t="s">
        <v>159</v>
      </c>
      <c r="F17" s="204">
        <f t="shared" ref="F17" si="1">SUM(F15:F16)</f>
        <v>-885118.75999999978</v>
      </c>
      <c r="G17" s="204">
        <f t="shared" ref="G17:H17" si="2">SUM(G15:G16)</f>
        <v>-824701.1649999998</v>
      </c>
      <c r="H17" s="204">
        <f t="shared" si="2"/>
        <v>-764282.56999999983</v>
      </c>
      <c r="I17" s="204">
        <f t="shared" ref="I17:N17" si="3">SUM(I15:I16)</f>
        <v>-703864.97499999986</v>
      </c>
      <c r="J17" s="204">
        <f t="shared" si="3"/>
        <v>-643447.37999999989</v>
      </c>
      <c r="K17" s="204">
        <f t="shared" si="3"/>
        <v>-583029.78499999992</v>
      </c>
      <c r="L17" s="86">
        <f t="shared" si="3"/>
        <v>-522611.18999999994</v>
      </c>
      <c r="M17" s="86">
        <f t="shared" si="3"/>
        <v>-462192.59499999997</v>
      </c>
      <c r="N17" s="86">
        <f t="shared" si="3"/>
        <v>-401775</v>
      </c>
      <c r="O17" s="47"/>
      <c r="X17" s="90" t="s">
        <v>96</v>
      </c>
      <c r="Y17" s="90"/>
      <c r="Z17" s="90">
        <v>50</v>
      </c>
      <c r="AA17" s="92">
        <f>1/Z17</f>
        <v>0.02</v>
      </c>
    </row>
    <row r="18" spans="2:27" ht="16.5" thickTop="1" x14ac:dyDescent="0.25">
      <c r="B18" s="14"/>
      <c r="D18" s="14"/>
      <c r="E18" s="14"/>
      <c r="F18" s="205"/>
      <c r="G18" s="205"/>
      <c r="H18" s="205"/>
      <c r="I18" s="205"/>
      <c r="J18" s="205"/>
      <c r="K18" s="205"/>
      <c r="L18" s="14"/>
      <c r="M18" s="14"/>
      <c r="N18" s="14"/>
      <c r="X18" s="90" t="s">
        <v>96</v>
      </c>
      <c r="Y18" s="90"/>
      <c r="Z18" s="90">
        <v>100</v>
      </c>
      <c r="AA18" s="92">
        <f>1/Z18</f>
        <v>0.01</v>
      </c>
    </row>
    <row r="19" spans="2:27" x14ac:dyDescent="0.25">
      <c r="B19" s="18" t="s">
        <v>14</v>
      </c>
      <c r="F19" s="207"/>
      <c r="G19" s="207"/>
      <c r="H19" s="207"/>
      <c r="I19" s="207"/>
      <c r="J19" s="207"/>
      <c r="K19" s="207"/>
      <c r="M19" s="87"/>
      <c r="N19" s="87"/>
      <c r="X19" s="90" t="s">
        <v>96</v>
      </c>
      <c r="Y19" s="90"/>
      <c r="Z19" s="90">
        <v>200</v>
      </c>
      <c r="AA19" s="92">
        <f>1/Z19</f>
        <v>5.0000000000000001E-3</v>
      </c>
    </row>
    <row r="20" spans="2:27" x14ac:dyDescent="0.25">
      <c r="B20" s="227" t="s">
        <v>160</v>
      </c>
      <c r="C20" s="227"/>
      <c r="D20" s="227"/>
      <c r="E20" s="227"/>
      <c r="F20" s="205">
        <v>10078760</v>
      </c>
      <c r="G20" s="205">
        <v>10078760</v>
      </c>
      <c r="H20" s="205">
        <v>10078760</v>
      </c>
      <c r="I20" s="205">
        <v>10078760</v>
      </c>
      <c r="J20" s="205">
        <v>10078760</v>
      </c>
      <c r="K20" s="205">
        <v>10078760</v>
      </c>
      <c r="L20" s="14">
        <f>+M5-M6</f>
        <v>-8536709</v>
      </c>
      <c r="M20" s="14">
        <f>+N5-N6</f>
        <v>-8536709</v>
      </c>
      <c r="N20" s="14">
        <v>1542051</v>
      </c>
    </row>
    <row r="21" spans="2:27" x14ac:dyDescent="0.25">
      <c r="B21" s="112" t="s">
        <v>161</v>
      </c>
      <c r="C21" s="95"/>
      <c r="D21" s="95"/>
      <c r="F21" s="208">
        <v>-8536709</v>
      </c>
      <c r="G21" s="208">
        <v>-8536709</v>
      </c>
      <c r="H21" s="208">
        <v>-8536709</v>
      </c>
      <c r="I21" s="208">
        <v>-8536709</v>
      </c>
      <c r="J21" s="208">
        <v>-8536709</v>
      </c>
      <c r="K21" s="208">
        <v>-8536709</v>
      </c>
      <c r="L21" s="95"/>
      <c r="M21" s="14"/>
      <c r="N21" s="14"/>
    </row>
    <row r="22" spans="2:27" ht="16.5" thickBot="1" x14ac:dyDescent="0.3">
      <c r="B22" s="116" t="s">
        <v>162</v>
      </c>
      <c r="C22" s="95"/>
      <c r="D22" s="95"/>
      <c r="F22" s="192">
        <f t="shared" ref="F22:K22" si="4">SUM(F20:F21)</f>
        <v>1542051</v>
      </c>
      <c r="G22" s="192">
        <f t="shared" si="4"/>
        <v>1542051</v>
      </c>
      <c r="H22" s="192">
        <f t="shared" si="4"/>
        <v>1542051</v>
      </c>
      <c r="I22" s="192">
        <f t="shared" si="4"/>
        <v>1542051</v>
      </c>
      <c r="J22" s="192">
        <f t="shared" si="4"/>
        <v>1542051</v>
      </c>
      <c r="K22" s="192">
        <f t="shared" si="4"/>
        <v>1542051</v>
      </c>
      <c r="L22" s="95"/>
      <c r="M22" s="14"/>
      <c r="N22" s="14"/>
    </row>
    <row r="23" spans="2:27" ht="16.5" thickTop="1" x14ac:dyDescent="0.25">
      <c r="B23" s="116"/>
      <c r="C23" s="95"/>
      <c r="D23" s="95"/>
      <c r="E23" s="143"/>
      <c r="F23" s="143"/>
      <c r="G23" s="143"/>
      <c r="H23" s="143"/>
      <c r="I23" s="143"/>
      <c r="J23" s="143"/>
      <c r="K23" s="143"/>
      <c r="L23" s="95"/>
      <c r="M23" s="14"/>
      <c r="N23" s="14"/>
    </row>
    <row r="24" spans="2:27" x14ac:dyDescent="0.25">
      <c r="B24" s="18" t="s">
        <v>187</v>
      </c>
      <c r="J24" s="143"/>
      <c r="K24" s="143"/>
      <c r="L24" s="95"/>
      <c r="M24" s="14"/>
      <c r="N24" s="14"/>
    </row>
    <row r="25" spans="2:27" x14ac:dyDescent="0.25">
      <c r="B25" s="227" t="s">
        <v>192</v>
      </c>
      <c r="C25" s="228"/>
      <c r="D25" s="228"/>
      <c r="E25" s="228"/>
      <c r="F25" s="209">
        <f>'NOTER 2023'!S34</f>
        <v>132631.87</v>
      </c>
      <c r="G25" s="209">
        <f>'NOTER 2023'!S34</f>
        <v>132631.87</v>
      </c>
      <c r="H25" s="209">
        <f>'NOTER 2023'!S34</f>
        <v>132631.87</v>
      </c>
      <c r="I25" s="205">
        <v>87749</v>
      </c>
      <c r="J25" s="210">
        <v>38734</v>
      </c>
      <c r="K25" s="210">
        <v>38734</v>
      </c>
      <c r="L25" s="95"/>
      <c r="M25" s="14"/>
      <c r="N25" s="14"/>
    </row>
    <row r="26" spans="2:27" x14ac:dyDescent="0.25">
      <c r="B26" s="14" t="s">
        <v>193</v>
      </c>
      <c r="C26" s="49"/>
      <c r="D26" s="49"/>
      <c r="F26" s="205">
        <f>G26+G27</f>
        <v>-71356.148000000001</v>
      </c>
      <c r="G26" s="205">
        <f>H26+H27</f>
        <v>-57514.074000000001</v>
      </c>
      <c r="H26" s="205">
        <f>I26+I27-360</f>
        <v>-43672</v>
      </c>
      <c r="I26" s="205">
        <v>-38374</v>
      </c>
      <c r="J26" s="210">
        <v>-38734</v>
      </c>
      <c r="K26" s="210">
        <v>-38734</v>
      </c>
      <c r="L26" s="95"/>
      <c r="M26" s="14"/>
      <c r="N26" s="14"/>
    </row>
    <row r="27" spans="2:27" x14ac:dyDescent="0.25">
      <c r="B27" s="14" t="s">
        <v>194</v>
      </c>
      <c r="C27" s="49"/>
      <c r="D27" s="49"/>
      <c r="F27" s="205">
        <f>-'NOTER 2023'!W34</f>
        <v>-13842.074000000001</v>
      </c>
      <c r="G27" s="205">
        <f>-'NOTER 2023'!W34</f>
        <v>-13842.074000000001</v>
      </c>
      <c r="H27" s="205">
        <f>-'NOTER 2023'!W34</f>
        <v>-13842.074000000001</v>
      </c>
      <c r="I27" s="205">
        <v>-4938</v>
      </c>
      <c r="J27" s="210">
        <v>0</v>
      </c>
      <c r="K27" s="210">
        <v>0</v>
      </c>
      <c r="L27" s="95"/>
      <c r="M27" s="14"/>
      <c r="N27" s="14"/>
    </row>
    <row r="28" spans="2:27" ht="16.5" thickBot="1" x14ac:dyDescent="0.3">
      <c r="B28" s="116" t="s">
        <v>195</v>
      </c>
      <c r="C28" s="95"/>
      <c r="D28" s="95"/>
      <c r="F28" s="192">
        <f t="shared" ref="F28:K28" si="5">SUM(F25:F27)</f>
        <v>47433.647999999994</v>
      </c>
      <c r="G28" s="192">
        <f t="shared" si="5"/>
        <v>61275.722000000002</v>
      </c>
      <c r="H28" s="192">
        <f t="shared" si="5"/>
        <v>75117.796000000002</v>
      </c>
      <c r="I28" s="192">
        <f t="shared" si="5"/>
        <v>44437</v>
      </c>
      <c r="J28" s="192">
        <f t="shared" si="5"/>
        <v>0</v>
      </c>
      <c r="K28" s="192">
        <f t="shared" si="5"/>
        <v>0</v>
      </c>
      <c r="L28" s="95"/>
      <c r="M28" s="14"/>
      <c r="N28" s="14"/>
    </row>
    <row r="29" spans="2:27" ht="16.5" thickTop="1" x14ac:dyDescent="0.25">
      <c r="B29" s="116"/>
      <c r="C29" s="95"/>
      <c r="D29" s="95"/>
      <c r="E29" s="143"/>
      <c r="F29" s="211"/>
      <c r="G29" s="211"/>
      <c r="H29" s="211"/>
      <c r="I29" s="211"/>
      <c r="J29" s="212"/>
      <c r="K29" s="212"/>
      <c r="L29" s="95"/>
      <c r="M29" s="14"/>
      <c r="N29" s="14"/>
    </row>
    <row r="30" spans="2:27" x14ac:dyDescent="0.25">
      <c r="B30" s="18" t="s">
        <v>169</v>
      </c>
      <c r="F30" s="207"/>
      <c r="G30" s="207"/>
      <c r="H30" s="207"/>
      <c r="I30" s="207"/>
      <c r="J30" s="207"/>
      <c r="K30" s="207"/>
      <c r="L30" s="95"/>
      <c r="M30" s="14"/>
      <c r="N30" s="14"/>
    </row>
    <row r="31" spans="2:27" x14ac:dyDescent="0.25">
      <c r="B31" s="227" t="s">
        <v>170</v>
      </c>
      <c r="C31" s="228"/>
      <c r="D31" s="228"/>
      <c r="E31" s="228"/>
      <c r="F31" s="208">
        <v>26515.59</v>
      </c>
      <c r="G31" s="208">
        <v>50686.29</v>
      </c>
      <c r="H31" s="208">
        <v>30858</v>
      </c>
      <c r="I31" s="213">
        <v>92466</v>
      </c>
      <c r="J31" s="213">
        <v>105285.97</v>
      </c>
      <c r="K31" s="205">
        <v>57039</v>
      </c>
      <c r="L31" s="95"/>
      <c r="M31" s="14"/>
      <c r="N31" s="14"/>
    </row>
    <row r="32" spans="2:27" x14ac:dyDescent="0.25">
      <c r="B32" s="227" t="s">
        <v>171</v>
      </c>
      <c r="C32" s="228"/>
      <c r="D32" s="228"/>
      <c r="E32" s="228"/>
      <c r="F32" s="208">
        <f>70000+148.32</f>
        <v>70148.320000000007</v>
      </c>
      <c r="G32" s="214"/>
      <c r="H32" s="214"/>
      <c r="I32" s="215">
        <v>0</v>
      </c>
      <c r="J32" s="215">
        <v>0</v>
      </c>
      <c r="K32" s="215">
        <v>7213.47</v>
      </c>
      <c r="L32" s="95"/>
      <c r="M32" s="14"/>
      <c r="N32" s="14"/>
    </row>
    <row r="33" spans="2:21" ht="16.5" thickBot="1" x14ac:dyDescent="0.3">
      <c r="B33" s="116" t="s">
        <v>172</v>
      </c>
      <c r="C33" s="95"/>
      <c r="D33" s="95"/>
      <c r="F33" s="193">
        <f t="shared" ref="F33:K33" si="6">SUM(F31:F32)</f>
        <v>96663.91</v>
      </c>
      <c r="G33" s="193">
        <f t="shared" si="6"/>
        <v>50686.29</v>
      </c>
      <c r="H33" s="193">
        <f t="shared" si="6"/>
        <v>30858</v>
      </c>
      <c r="I33" s="193">
        <f t="shared" si="6"/>
        <v>92466</v>
      </c>
      <c r="J33" s="193">
        <f t="shared" si="6"/>
        <v>105285.97</v>
      </c>
      <c r="K33" s="193">
        <f t="shared" si="6"/>
        <v>64252.47</v>
      </c>
      <c r="L33" s="95"/>
      <c r="M33" s="14"/>
      <c r="N33" s="14"/>
    </row>
    <row r="34" spans="2:21" ht="16.5" thickTop="1" x14ac:dyDescent="0.25">
      <c r="B34" s="116"/>
      <c r="C34" s="95"/>
      <c r="D34" s="95"/>
      <c r="E34" s="113"/>
      <c r="F34" s="113"/>
      <c r="G34" s="113"/>
      <c r="H34" s="113"/>
      <c r="I34" s="113"/>
      <c r="J34" s="113"/>
      <c r="K34" s="113"/>
      <c r="L34" s="95"/>
      <c r="M34" s="14"/>
      <c r="N34" s="14"/>
    </row>
    <row r="35" spans="2:21" x14ac:dyDescent="0.25">
      <c r="B35" s="46" t="s">
        <v>164</v>
      </c>
      <c r="Q35" s="58" t="s">
        <v>90</v>
      </c>
      <c r="R35" s="88"/>
      <c r="S35" s="59" t="s">
        <v>91</v>
      </c>
      <c r="T35" s="89" t="s">
        <v>92</v>
      </c>
    </row>
    <row r="36" spans="2:21" x14ac:dyDescent="0.25">
      <c r="B36" s="49" t="s">
        <v>97</v>
      </c>
      <c r="Q36" s="58"/>
      <c r="R36" s="88"/>
      <c r="S36" s="59"/>
      <c r="T36" s="89"/>
    </row>
    <row r="37" spans="2:21" x14ac:dyDescent="0.25">
      <c r="B37" s="49" t="s">
        <v>165</v>
      </c>
      <c r="F37" s="114">
        <v>3421</v>
      </c>
      <c r="G37" s="114">
        <v>3421</v>
      </c>
      <c r="H37" s="114">
        <v>3421</v>
      </c>
      <c r="I37" s="114">
        <v>3421</v>
      </c>
      <c r="J37" s="114">
        <v>3421</v>
      </c>
      <c r="K37" s="114">
        <v>3421</v>
      </c>
      <c r="Q37" s="58"/>
      <c r="R37" s="88"/>
      <c r="S37" s="59"/>
      <c r="T37" s="89"/>
    </row>
    <row r="38" spans="2:21" x14ac:dyDescent="0.25">
      <c r="B38" s="49" t="s">
        <v>166</v>
      </c>
      <c r="F38" s="114">
        <v>2041</v>
      </c>
      <c r="G38" s="114">
        <v>2041</v>
      </c>
      <c r="H38" s="114">
        <v>2041</v>
      </c>
      <c r="I38" s="114">
        <v>2041</v>
      </c>
      <c r="J38" s="114">
        <v>2041</v>
      </c>
      <c r="K38" s="114">
        <v>2041</v>
      </c>
      <c r="Q38" s="58"/>
      <c r="R38" s="88"/>
      <c r="S38" s="59"/>
      <c r="T38" s="89"/>
    </row>
    <row r="39" spans="2:21" x14ac:dyDescent="0.25">
      <c r="B39" s="49" t="s">
        <v>225</v>
      </c>
      <c r="F39" s="114">
        <v>0</v>
      </c>
      <c r="G39" s="114">
        <v>0</v>
      </c>
      <c r="H39" s="114">
        <v>2041</v>
      </c>
      <c r="I39" s="114">
        <v>2041</v>
      </c>
      <c r="J39" s="114">
        <v>2041</v>
      </c>
      <c r="K39" s="114">
        <v>2041</v>
      </c>
      <c r="Q39" s="58"/>
      <c r="R39" s="88"/>
      <c r="S39" s="59"/>
      <c r="T39" s="89"/>
    </row>
    <row r="40" spans="2:21" x14ac:dyDescent="0.25">
      <c r="B40" s="49" t="s">
        <v>180</v>
      </c>
      <c r="F40" s="114">
        <v>2041</v>
      </c>
      <c r="G40" s="114">
        <v>2041</v>
      </c>
      <c r="H40" s="114">
        <v>2041</v>
      </c>
      <c r="I40" s="114">
        <v>2041</v>
      </c>
      <c r="J40" s="114">
        <v>2041</v>
      </c>
      <c r="K40" s="114">
        <v>2041</v>
      </c>
      <c r="Q40" s="58"/>
      <c r="R40" s="88"/>
      <c r="S40" s="59"/>
      <c r="T40" s="89"/>
    </row>
    <row r="41" spans="2:21" x14ac:dyDescent="0.25">
      <c r="B41" s="49" t="s">
        <v>167</v>
      </c>
      <c r="F41" s="114">
        <v>2041</v>
      </c>
      <c r="G41" s="114">
        <v>0</v>
      </c>
      <c r="H41" s="114">
        <v>0</v>
      </c>
      <c r="I41" s="114">
        <v>0</v>
      </c>
      <c r="J41" s="114">
        <v>2041</v>
      </c>
      <c r="K41" s="114">
        <v>2041</v>
      </c>
      <c r="Q41" s="58"/>
      <c r="R41" s="88"/>
      <c r="S41" s="59"/>
      <c r="T41" s="89"/>
    </row>
    <row r="42" spans="2:21" ht="16.5" thickBot="1" x14ac:dyDescent="0.3">
      <c r="B42" s="49" t="s">
        <v>168</v>
      </c>
      <c r="C42" s="49"/>
      <c r="D42" s="49"/>
      <c r="F42" s="194">
        <f t="shared" ref="F42:K42" si="7">SUM(F37:F41)</f>
        <v>9544</v>
      </c>
      <c r="G42" s="194">
        <f t="shared" si="7"/>
        <v>7503</v>
      </c>
      <c r="H42" s="194">
        <f t="shared" si="7"/>
        <v>9544</v>
      </c>
      <c r="I42" s="194">
        <f t="shared" si="7"/>
        <v>9544</v>
      </c>
      <c r="J42" s="194">
        <f t="shared" si="7"/>
        <v>11585</v>
      </c>
      <c r="K42" s="194">
        <f t="shared" si="7"/>
        <v>11585</v>
      </c>
      <c r="L42" s="70">
        <v>11585</v>
      </c>
      <c r="M42" s="14">
        <v>11585</v>
      </c>
      <c r="N42" s="14">
        <v>11585</v>
      </c>
      <c r="Q42" s="90" t="s">
        <v>93</v>
      </c>
      <c r="R42" s="90"/>
      <c r="S42" s="90">
        <v>20</v>
      </c>
      <c r="T42" s="92">
        <f>1/S42</f>
        <v>0.05</v>
      </c>
    </row>
    <row r="43" spans="2:21" ht="16.5" thickTop="1" x14ac:dyDescent="0.25">
      <c r="B43" s="49"/>
      <c r="C43" s="49"/>
      <c r="D43" s="49"/>
      <c r="F43" s="70"/>
      <c r="G43" s="70"/>
      <c r="H43" s="70"/>
      <c r="I43" s="70"/>
      <c r="J43" s="70"/>
      <c r="K43" s="70"/>
      <c r="L43" s="70"/>
      <c r="M43" s="14"/>
      <c r="N43" s="14"/>
      <c r="Q43" s="97"/>
      <c r="R43" s="98"/>
      <c r="S43" s="90"/>
      <c r="T43" s="92"/>
    </row>
    <row r="44" spans="2:21" x14ac:dyDescent="0.25">
      <c r="B44" s="46" t="s">
        <v>245</v>
      </c>
      <c r="C44" s="49"/>
      <c r="D44" s="49"/>
      <c r="F44" s="189"/>
      <c r="G44" s="189"/>
      <c r="H44" s="70"/>
      <c r="I44" s="70"/>
      <c r="J44" s="70"/>
      <c r="K44" s="70"/>
      <c r="L44" s="70"/>
      <c r="M44" s="14"/>
      <c r="N44" s="14"/>
      <c r="Q44" s="97"/>
      <c r="R44" s="98"/>
      <c r="S44" s="90"/>
      <c r="T44" s="92"/>
    </row>
    <row r="45" spans="2:21" x14ac:dyDescent="0.25">
      <c r="B45" s="49" t="s">
        <v>239</v>
      </c>
      <c r="C45" s="49"/>
      <c r="D45" s="49"/>
      <c r="F45" s="195">
        <v>1198</v>
      </c>
      <c r="G45" s="195">
        <v>3198</v>
      </c>
      <c r="H45" s="198">
        <v>4042</v>
      </c>
      <c r="I45" s="199">
        <v>5393</v>
      </c>
      <c r="J45" s="200">
        <v>1639</v>
      </c>
      <c r="K45" s="200">
        <v>1722</v>
      </c>
      <c r="L45" s="70">
        <v>6723</v>
      </c>
      <c r="M45" s="14">
        <f>1302+4874+4806</f>
        <v>10982</v>
      </c>
      <c r="N45" s="14">
        <f>13480-3073</f>
        <v>10407</v>
      </c>
      <c r="Q45" s="97" t="s">
        <v>128</v>
      </c>
      <c r="R45" s="98"/>
      <c r="S45" s="99">
        <v>25</v>
      </c>
      <c r="T45" s="92">
        <v>0.04</v>
      </c>
      <c r="U45" t="s">
        <v>129</v>
      </c>
    </row>
    <row r="46" spans="2:21" x14ac:dyDescent="0.25">
      <c r="B46" s="49" t="s">
        <v>240</v>
      </c>
      <c r="C46" s="49"/>
      <c r="D46" s="49"/>
      <c r="F46" s="195">
        <v>6020</v>
      </c>
      <c r="G46" s="195">
        <v>6518</v>
      </c>
      <c r="H46" s="198">
        <v>6704</v>
      </c>
      <c r="I46" s="199">
        <v>1761</v>
      </c>
      <c r="J46" s="200">
        <v>5321</v>
      </c>
      <c r="K46" s="200">
        <v>5378</v>
      </c>
      <c r="L46" s="70"/>
      <c r="M46" s="14"/>
      <c r="N46" s="14"/>
      <c r="Q46" s="97"/>
      <c r="R46" s="98"/>
      <c r="S46" s="99"/>
      <c r="T46" s="92"/>
    </row>
    <row r="47" spans="2:21" x14ac:dyDescent="0.25">
      <c r="B47" s="49" t="s">
        <v>138</v>
      </c>
      <c r="C47" s="49"/>
      <c r="D47" s="49"/>
      <c r="F47" s="195">
        <f>7595+117</f>
        <v>7712</v>
      </c>
      <c r="G47" s="195">
        <f>7295+112</f>
        <v>7407</v>
      </c>
      <c r="H47" s="195">
        <f>7145+77</f>
        <v>7222</v>
      </c>
      <c r="I47" s="199">
        <v>6959</v>
      </c>
      <c r="J47" s="200">
        <v>6757</v>
      </c>
      <c r="K47" s="200">
        <v>3320</v>
      </c>
      <c r="L47" s="70">
        <v>3206</v>
      </c>
      <c r="M47" s="14">
        <v>3138</v>
      </c>
      <c r="N47" s="14">
        <v>3073</v>
      </c>
      <c r="Q47" s="90" t="s">
        <v>96</v>
      </c>
      <c r="R47" s="90"/>
      <c r="S47" s="90">
        <v>50</v>
      </c>
      <c r="T47" s="92">
        <f>1/S47</f>
        <v>0.02</v>
      </c>
    </row>
    <row r="48" spans="2:21" x14ac:dyDescent="0.25">
      <c r="B48" s="49" t="s">
        <v>238</v>
      </c>
      <c r="C48" s="49"/>
      <c r="D48" s="49"/>
      <c r="F48" s="195">
        <v>-3890</v>
      </c>
      <c r="G48" s="195"/>
      <c r="H48" s="195"/>
      <c r="I48" s="199"/>
      <c r="J48" s="200"/>
      <c r="K48" s="200"/>
      <c r="L48" s="70"/>
      <c r="M48" s="14"/>
      <c r="N48" s="14"/>
      <c r="Q48" s="90"/>
      <c r="R48" s="90"/>
      <c r="S48" s="90"/>
      <c r="T48" s="92"/>
    </row>
    <row r="49" spans="2:20" x14ac:dyDescent="0.25">
      <c r="B49" s="49" t="s">
        <v>219</v>
      </c>
      <c r="C49" s="49"/>
      <c r="D49" s="49"/>
      <c r="F49" s="195"/>
      <c r="G49" s="195"/>
      <c r="H49" s="195">
        <v>2037.5</v>
      </c>
      <c r="I49" s="201"/>
      <c r="J49" s="202"/>
      <c r="K49" s="200"/>
      <c r="L49" s="64"/>
      <c r="M49" s="14">
        <v>1125</v>
      </c>
      <c r="N49" s="14"/>
      <c r="Q49" s="90" t="s">
        <v>96</v>
      </c>
      <c r="R49" s="90"/>
      <c r="S49" s="90">
        <v>100</v>
      </c>
      <c r="T49" s="92">
        <f>1/S49</f>
        <v>0.01</v>
      </c>
    </row>
    <row r="50" spans="2:20" x14ac:dyDescent="0.25">
      <c r="B50" s="49" t="s">
        <v>244</v>
      </c>
      <c r="C50" s="49"/>
      <c r="D50" s="49"/>
      <c r="F50" s="216">
        <v>639</v>
      </c>
      <c r="G50" s="196"/>
      <c r="H50" s="203"/>
      <c r="I50" s="201"/>
      <c r="J50" s="202"/>
      <c r="K50" s="202"/>
      <c r="L50" s="64"/>
      <c r="M50" s="14">
        <v>3200</v>
      </c>
      <c r="N50" s="14"/>
      <c r="Q50" s="90" t="s">
        <v>96</v>
      </c>
      <c r="R50" s="90"/>
      <c r="S50" s="90">
        <v>200</v>
      </c>
      <c r="T50" s="92">
        <f>1/S50</f>
        <v>5.0000000000000001E-3</v>
      </c>
    </row>
    <row r="51" spans="2:20" ht="16.5" thickBot="1" x14ac:dyDescent="0.3">
      <c r="B51" s="49" t="s">
        <v>246</v>
      </c>
      <c r="F51" s="197">
        <f t="shared" ref="F51:K51" si="8">SUM(F45:F50)</f>
        <v>11679</v>
      </c>
      <c r="G51" s="197">
        <f t="shared" si="8"/>
        <v>17123</v>
      </c>
      <c r="H51" s="197">
        <f t="shared" si="8"/>
        <v>20005.5</v>
      </c>
      <c r="I51" s="197">
        <f t="shared" si="8"/>
        <v>14113</v>
      </c>
      <c r="J51" s="197">
        <f t="shared" si="8"/>
        <v>13717</v>
      </c>
      <c r="K51" s="197">
        <f t="shared" si="8"/>
        <v>10420</v>
      </c>
      <c r="L51" s="101">
        <f>SUM(L42:L50)</f>
        <v>21514</v>
      </c>
      <c r="M51" s="101">
        <f>SUM(M42:M50)</f>
        <v>30030</v>
      </c>
      <c r="N51" s="101">
        <f>SUM(N42:N50)</f>
        <v>25065</v>
      </c>
      <c r="T51" s="100"/>
    </row>
    <row r="52" spans="2:20" ht="16.5" thickTop="1" x14ac:dyDescent="0.25"/>
    <row r="53" spans="2:20" hidden="1" x14ac:dyDescent="0.25">
      <c r="B53" s="8" t="s">
        <v>237</v>
      </c>
    </row>
    <row r="54" spans="2:20" hidden="1" x14ac:dyDescent="0.25">
      <c r="B54" t="s">
        <v>238</v>
      </c>
      <c r="F54" s="114">
        <v>3890</v>
      </c>
    </row>
    <row r="55" spans="2:20" hidden="1" x14ac:dyDescent="0.25">
      <c r="B55" t="s">
        <v>241</v>
      </c>
      <c r="F55" s="114">
        <v>148.32</v>
      </c>
    </row>
    <row r="56" spans="2:20" ht="16.5" hidden="1" thickBot="1" x14ac:dyDescent="0.3">
      <c r="F56" s="204">
        <f>SUM(F54:F55)</f>
        <v>4038.32</v>
      </c>
    </row>
    <row r="57" spans="2:20" x14ac:dyDescent="0.25">
      <c r="B57" s="8" t="s">
        <v>173</v>
      </c>
    </row>
    <row r="58" spans="2:20" x14ac:dyDescent="0.25">
      <c r="B58" s="117" t="s">
        <v>38</v>
      </c>
      <c r="M58" s="87"/>
      <c r="N58" s="87"/>
    </row>
    <row r="59" spans="2:20" x14ac:dyDescent="0.25">
      <c r="B59" s="49" t="s">
        <v>236</v>
      </c>
      <c r="C59" s="49"/>
      <c r="D59" s="49"/>
      <c r="F59" s="188">
        <f>10080000+23380</f>
        <v>10103380</v>
      </c>
      <c r="G59" s="188">
        <v>10080000</v>
      </c>
      <c r="H59" s="188">
        <v>10080000</v>
      </c>
      <c r="I59" s="188">
        <v>10080000</v>
      </c>
      <c r="J59" s="188">
        <v>10080000</v>
      </c>
      <c r="K59" s="188">
        <v>10080000</v>
      </c>
      <c r="L59" s="14">
        <v>10080000</v>
      </c>
      <c r="M59" s="14">
        <v>10080000</v>
      </c>
      <c r="N59" s="14">
        <v>10080000</v>
      </c>
    </row>
    <row r="60" spans="2:20" x14ac:dyDescent="0.25">
      <c r="B60" t="s">
        <v>175</v>
      </c>
      <c r="F60" s="141">
        <f>G60+G61+1</f>
        <v>-310423.55</v>
      </c>
      <c r="G60" s="141">
        <f>H60+H61-1</f>
        <v>-260916.1</v>
      </c>
      <c r="H60" s="141">
        <f>I60+I61</f>
        <v>-163677.53</v>
      </c>
      <c r="I60" s="141">
        <f>J60+J61</f>
        <v>-136522.03</v>
      </c>
      <c r="J60" s="141">
        <f>K60+K61</f>
        <v>-113840.53</v>
      </c>
      <c r="K60" s="114">
        <v>-86381.9</v>
      </c>
    </row>
    <row r="61" spans="2:20" x14ac:dyDescent="0.25">
      <c r="B61" t="s">
        <v>174</v>
      </c>
      <c r="F61" s="187">
        <v>-48259.45</v>
      </c>
      <c r="G61" s="187">
        <v>-49508.45</v>
      </c>
      <c r="H61" s="187">
        <v>-97237.57</v>
      </c>
      <c r="I61" s="141">
        <v>-27155.5</v>
      </c>
      <c r="J61" s="141">
        <v>-22681.5</v>
      </c>
      <c r="K61" s="114">
        <v>-27458.63</v>
      </c>
    </row>
    <row r="62" spans="2:20" ht="16.5" thickBot="1" x14ac:dyDescent="0.3">
      <c r="B62" s="8" t="s">
        <v>176</v>
      </c>
      <c r="F62" s="142">
        <f t="shared" ref="F62:K62" si="9">SUM(F59:F61)</f>
        <v>9744697</v>
      </c>
      <c r="G62" s="142">
        <f t="shared" si="9"/>
        <v>9769575.4500000011</v>
      </c>
      <c r="H62" s="142">
        <f t="shared" si="9"/>
        <v>9819084.9000000004</v>
      </c>
      <c r="I62" s="142">
        <f t="shared" si="9"/>
        <v>9916322.4700000007</v>
      </c>
      <c r="J62" s="142">
        <f t="shared" si="9"/>
        <v>9943477.9700000007</v>
      </c>
      <c r="K62" s="142">
        <f t="shared" si="9"/>
        <v>9966159.4699999988</v>
      </c>
    </row>
    <row r="63" spans="2:20" ht="16.5" thickTop="1" x14ac:dyDescent="0.25"/>
  </sheetData>
  <mergeCells count="6">
    <mergeCell ref="B3:N3"/>
    <mergeCell ref="V5:V6"/>
    <mergeCell ref="B20:E20"/>
    <mergeCell ref="B31:E31"/>
    <mergeCell ref="B32:E32"/>
    <mergeCell ref="B25:E25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52"/>
  <sheetViews>
    <sheetView topLeftCell="S8" workbookViewId="0">
      <selection activeCell="S48" sqref="S48"/>
    </sheetView>
  </sheetViews>
  <sheetFormatPr defaultRowHeight="15" x14ac:dyDescent="0.25"/>
  <cols>
    <col min="1" max="1" width="10.7109375" hidden="1" customWidth="1"/>
    <col min="2" max="3" width="13" hidden="1" customWidth="1"/>
    <col min="4" max="4" width="6.5703125" hidden="1" customWidth="1"/>
    <col min="5" max="5" width="0" hidden="1" customWidth="1"/>
    <col min="6" max="6" width="9.28515625" hidden="1" customWidth="1"/>
    <col min="7" max="7" width="9.140625" hidden="1" customWidth="1"/>
    <col min="8" max="8" width="8.5703125" hidden="1" customWidth="1"/>
    <col min="9" max="9" width="10.7109375" hidden="1" customWidth="1"/>
    <col min="10" max="10" width="9.5703125" hidden="1" customWidth="1"/>
    <col min="11" max="18" width="0" hidden="1" customWidth="1"/>
    <col min="19" max="19" width="44.85546875" customWidth="1"/>
    <col min="20" max="20" width="11.5703125" style="160" customWidth="1"/>
    <col min="21" max="21" width="2.140625" customWidth="1"/>
    <col min="22" max="22" width="11.5703125" style="160" customWidth="1"/>
    <col min="23" max="23" width="2.140625" customWidth="1"/>
    <col min="24" max="24" width="11.5703125" style="160" customWidth="1"/>
    <col min="25" max="25" width="2.42578125" customWidth="1"/>
    <col min="26" max="26" width="11.5703125" style="160" hidden="1" customWidth="1"/>
    <col min="27" max="27" width="2.5703125" hidden="1" customWidth="1"/>
    <col min="28" max="28" width="11.5703125" style="160" customWidth="1"/>
    <col min="29" max="29" width="2.28515625" customWidth="1"/>
    <col min="30" max="30" width="11.5703125" hidden="1" customWidth="1"/>
    <col min="31" max="31" width="2.7109375" hidden="1" customWidth="1"/>
    <col min="32" max="32" width="9.7109375" customWidth="1"/>
    <col min="33" max="33" width="2.42578125" customWidth="1"/>
    <col min="34" max="34" width="9.7109375" customWidth="1"/>
    <col min="35" max="35" width="2.5703125" customWidth="1"/>
    <col min="36" max="36" width="9.7109375" customWidth="1"/>
    <col min="37" max="37" width="2.7109375" customWidth="1"/>
    <col min="38" max="38" width="9.7109375" customWidth="1"/>
    <col min="39" max="39" width="2.42578125" customWidth="1"/>
    <col min="40" max="40" width="9.7109375" customWidth="1"/>
    <col min="41" max="41" width="4.85546875" hidden="1" customWidth="1"/>
    <col min="42" max="42" width="8.85546875" hidden="1" customWidth="1"/>
    <col min="43" max="43" width="5.28515625" hidden="1" customWidth="1"/>
    <col min="44" max="44" width="8.85546875" hidden="1" customWidth="1"/>
  </cols>
  <sheetData>
    <row r="1" spans="1:44" ht="21" x14ac:dyDescent="0.35">
      <c r="S1" s="1" t="s">
        <v>249</v>
      </c>
      <c r="T1" s="153"/>
      <c r="U1" s="1"/>
      <c r="V1" s="133"/>
      <c r="W1" s="1"/>
      <c r="X1" s="133"/>
      <c r="Y1" s="1"/>
      <c r="Z1" s="153"/>
      <c r="AA1" s="1"/>
      <c r="AB1" s="133"/>
      <c r="AC1" s="1"/>
      <c r="AD1" s="1"/>
      <c r="AE1" s="1"/>
      <c r="AF1" s="32"/>
      <c r="AG1" s="1"/>
      <c r="AH1" s="32"/>
      <c r="AI1" s="1"/>
      <c r="AJ1" s="32"/>
      <c r="AK1" s="1"/>
      <c r="AL1" s="32"/>
    </row>
    <row r="2" spans="1:44" ht="18.75" x14ac:dyDescent="0.3">
      <c r="S2" s="3" t="s">
        <v>151</v>
      </c>
      <c r="T2" s="154"/>
      <c r="U2" s="3"/>
      <c r="V2" s="131"/>
      <c r="W2" s="3"/>
      <c r="X2" s="131"/>
      <c r="Y2" s="3"/>
      <c r="Z2" s="154"/>
      <c r="AA2" s="3"/>
      <c r="AB2" s="131"/>
      <c r="AC2" s="3"/>
      <c r="AD2" s="3"/>
      <c r="AE2" s="3"/>
      <c r="AF2" s="35"/>
      <c r="AG2" s="3"/>
      <c r="AH2" s="35"/>
      <c r="AI2" s="3"/>
      <c r="AJ2" s="35"/>
      <c r="AK2" s="3"/>
      <c r="AL2" s="35"/>
    </row>
    <row r="3" spans="1:44" ht="16.5" thickBot="1" x14ac:dyDescent="0.3">
      <c r="A3" s="224"/>
      <c r="B3" s="224"/>
      <c r="C3" s="224"/>
      <c r="S3" s="4" t="s">
        <v>150</v>
      </c>
      <c r="T3" s="155"/>
      <c r="U3" s="4"/>
      <c r="V3" s="131"/>
      <c r="W3" s="4"/>
      <c r="X3" s="131"/>
      <c r="Y3" s="4"/>
      <c r="Z3" s="155"/>
      <c r="AA3" s="4"/>
      <c r="AB3" s="131"/>
      <c r="AC3" s="4"/>
      <c r="AD3" s="4"/>
      <c r="AE3" s="4"/>
      <c r="AF3" s="35"/>
      <c r="AG3" s="4"/>
      <c r="AH3" s="35"/>
      <c r="AI3" s="4"/>
      <c r="AJ3" s="35"/>
      <c r="AK3" s="4"/>
      <c r="AL3" s="35"/>
    </row>
    <row r="4" spans="1:44" ht="15.6" customHeight="1" x14ac:dyDescent="0.25">
      <c r="A4" s="14"/>
      <c r="B4" s="14"/>
      <c r="C4" s="14"/>
      <c r="F4" s="50" t="s">
        <v>62</v>
      </c>
      <c r="G4" s="51"/>
      <c r="H4" s="52" t="s">
        <v>69</v>
      </c>
      <c r="I4" s="53"/>
      <c r="J4" s="53"/>
      <c r="K4" s="225" t="s">
        <v>70</v>
      </c>
      <c r="M4" s="73" t="s">
        <v>80</v>
      </c>
      <c r="N4" s="74"/>
      <c r="O4" s="74"/>
      <c r="P4" s="74"/>
      <c r="Q4" s="75"/>
      <c r="S4" s="2"/>
      <c r="T4" s="156"/>
      <c r="U4" s="2"/>
      <c r="V4" s="131"/>
      <c r="W4" s="2"/>
      <c r="X4" s="131"/>
      <c r="Y4" s="2"/>
      <c r="Z4" s="156"/>
      <c r="AA4" s="2"/>
      <c r="AB4" s="131"/>
      <c r="AC4" s="2"/>
      <c r="AD4" s="2"/>
      <c r="AE4" s="2"/>
      <c r="AF4" s="35"/>
      <c r="AG4" s="2"/>
      <c r="AH4" s="35"/>
      <c r="AI4" s="2"/>
      <c r="AJ4" s="35"/>
      <c r="AK4" s="2"/>
      <c r="AL4" s="35"/>
    </row>
    <row r="5" spans="1:44" ht="18.75" x14ac:dyDescent="0.3">
      <c r="A5" s="14">
        <v>8536709</v>
      </c>
      <c r="B5" s="14">
        <v>8536709</v>
      </c>
      <c r="C5" s="14">
        <v>8536709</v>
      </c>
      <c r="F5" s="56"/>
      <c r="G5" s="57"/>
      <c r="H5" s="58" t="s">
        <v>73</v>
      </c>
      <c r="I5" s="59" t="s">
        <v>74</v>
      </c>
      <c r="J5" s="59" t="s">
        <v>75</v>
      </c>
      <c r="K5" s="229"/>
      <c r="M5" s="76" t="s">
        <v>81</v>
      </c>
      <c r="N5" s="77"/>
      <c r="O5" s="78"/>
      <c r="S5" s="7" t="s">
        <v>6</v>
      </c>
      <c r="T5" s="157"/>
      <c r="U5" s="7"/>
      <c r="V5" s="133"/>
      <c r="W5" s="7"/>
      <c r="X5" s="133"/>
      <c r="Y5" s="7"/>
      <c r="Z5" s="157"/>
      <c r="AA5" s="7"/>
      <c r="AB5" s="133"/>
      <c r="AC5" s="7"/>
      <c r="AD5" s="7"/>
      <c r="AE5" s="7"/>
      <c r="AF5" s="32"/>
      <c r="AG5" s="7"/>
      <c r="AH5" s="32"/>
      <c r="AI5" s="7"/>
      <c r="AJ5" s="32"/>
      <c r="AK5" s="7"/>
      <c r="AL5" s="32"/>
    </row>
    <row r="6" spans="1:44" ht="15.75" x14ac:dyDescent="0.25">
      <c r="A6" s="14">
        <v>60681</v>
      </c>
      <c r="B6" s="14">
        <v>60681</v>
      </c>
      <c r="C6" s="14">
        <v>60681</v>
      </c>
      <c r="D6" s="14"/>
      <c r="F6" s="60" t="s">
        <v>77</v>
      </c>
      <c r="G6" s="61"/>
      <c r="H6" s="62">
        <v>5</v>
      </c>
      <c r="I6" s="62">
        <v>403334</v>
      </c>
      <c r="J6" s="62">
        <f>+H6*I6</f>
        <v>2016670</v>
      </c>
      <c r="K6" s="63"/>
      <c r="M6" s="79" t="s">
        <v>83</v>
      </c>
      <c r="N6" s="80" t="s">
        <v>84</v>
      </c>
      <c r="O6" s="80" t="s">
        <v>85</v>
      </c>
      <c r="S6" s="9" t="s">
        <v>8</v>
      </c>
      <c r="T6" s="172" t="s">
        <v>230</v>
      </c>
      <c r="U6" s="23"/>
      <c r="V6" s="126" t="s">
        <v>226</v>
      </c>
      <c r="W6" s="23"/>
      <c r="X6" s="126" t="s">
        <v>221</v>
      </c>
      <c r="Y6" s="23"/>
      <c r="Z6" s="172" t="s">
        <v>206</v>
      </c>
      <c r="AA6" s="23"/>
      <c r="AB6" s="126" t="s">
        <v>207</v>
      </c>
      <c r="AC6" s="23"/>
      <c r="AD6" s="9" t="s">
        <v>196</v>
      </c>
      <c r="AE6" s="23"/>
      <c r="AF6" s="126" t="s">
        <v>184</v>
      </c>
      <c r="AG6" s="23"/>
      <c r="AH6" s="10" t="s">
        <v>177</v>
      </c>
      <c r="AI6" s="23"/>
      <c r="AJ6" s="10" t="s">
        <v>148</v>
      </c>
      <c r="AK6" s="23"/>
      <c r="AL6" s="10" t="s">
        <v>141</v>
      </c>
      <c r="AM6" s="23"/>
      <c r="AN6" s="10" t="s">
        <v>133</v>
      </c>
      <c r="AO6" s="9"/>
      <c r="AP6" s="10" t="s">
        <v>119</v>
      </c>
      <c r="AQ6" s="10"/>
      <c r="AR6" s="10" t="s">
        <v>61</v>
      </c>
    </row>
    <row r="7" spans="1:44" ht="16.5" thickBot="1" x14ac:dyDescent="0.3">
      <c r="A7" s="14">
        <v>367500</v>
      </c>
      <c r="B7" s="14">
        <v>367500</v>
      </c>
      <c r="C7" s="14">
        <v>367500</v>
      </c>
      <c r="D7" s="64"/>
      <c r="F7" s="65" t="s">
        <v>78</v>
      </c>
      <c r="G7" s="66"/>
      <c r="H7" s="67">
        <v>5</v>
      </c>
      <c r="I7" s="67">
        <v>605</v>
      </c>
      <c r="J7" s="68">
        <f>+I7*H7</f>
        <v>3025</v>
      </c>
      <c r="K7" s="69">
        <f>+C10*0.0015</f>
        <v>7128</v>
      </c>
      <c r="M7" s="83">
        <f>-(P15*C6+P16*C5)</f>
        <v>-173768.22999999998</v>
      </c>
      <c r="N7" s="84">
        <f>-(P15*C6+P17*C5)</f>
        <v>-88401.14</v>
      </c>
      <c r="O7" s="84">
        <f>-(P15*C6+P18*C5)</f>
        <v>-45717.595000000001</v>
      </c>
      <c r="S7" s="2" t="s">
        <v>11</v>
      </c>
      <c r="T7" s="120">
        <v>139020</v>
      </c>
      <c r="U7" s="25"/>
      <c r="V7" s="104">
        <v>139020</v>
      </c>
      <c r="W7" s="25"/>
      <c r="X7" s="104">
        <v>139020</v>
      </c>
      <c r="Y7" s="25"/>
      <c r="Z7" s="120">
        <v>139020</v>
      </c>
      <c r="AA7" s="25"/>
      <c r="AB7" s="104">
        <v>139020</v>
      </c>
      <c r="AC7" s="25"/>
      <c r="AD7" s="118">
        <v>139020</v>
      </c>
      <c r="AE7" s="25"/>
      <c r="AF7" s="104">
        <v>139020</v>
      </c>
      <c r="AG7" s="25"/>
      <c r="AH7" s="35">
        <v>139020</v>
      </c>
      <c r="AI7" s="25"/>
      <c r="AJ7" s="35">
        <v>139020</v>
      </c>
      <c r="AK7" s="25"/>
      <c r="AL7" s="35">
        <v>139020</v>
      </c>
      <c r="AM7" s="25"/>
      <c r="AN7" s="35">
        <v>139020</v>
      </c>
      <c r="AO7" s="2"/>
      <c r="AP7" s="35">
        <v>139020</v>
      </c>
      <c r="AQ7" s="28"/>
      <c r="AR7" s="35">
        <v>139020</v>
      </c>
    </row>
    <row r="8" spans="1:44" ht="15.75" x14ac:dyDescent="0.25">
      <c r="A8" s="14"/>
      <c r="B8" s="14"/>
      <c r="C8" s="14"/>
      <c r="D8" s="64"/>
      <c r="F8" s="217"/>
      <c r="G8" s="217"/>
      <c r="J8" s="218"/>
      <c r="K8" s="219"/>
      <c r="M8" s="220"/>
      <c r="N8" s="221"/>
      <c r="O8" s="221"/>
      <c r="S8" s="2" t="s">
        <v>238</v>
      </c>
      <c r="T8" s="120"/>
      <c r="U8" s="25"/>
      <c r="V8" s="104">
        <v>3890</v>
      </c>
      <c r="W8" s="25"/>
      <c r="X8" s="104"/>
      <c r="Y8" s="25"/>
      <c r="Z8" s="120"/>
      <c r="AA8" s="25"/>
      <c r="AB8" s="104"/>
      <c r="AC8" s="25"/>
      <c r="AD8" s="118"/>
      <c r="AE8" s="25"/>
      <c r="AF8" s="104"/>
      <c r="AG8" s="25"/>
      <c r="AH8" s="35"/>
      <c r="AI8" s="25"/>
      <c r="AJ8" s="35"/>
      <c r="AK8" s="25"/>
      <c r="AL8" s="35"/>
      <c r="AM8" s="25"/>
      <c r="AN8" s="35"/>
      <c r="AO8" s="2"/>
      <c r="AP8" s="35"/>
      <c r="AQ8" s="28"/>
      <c r="AR8" s="35"/>
    </row>
    <row r="9" spans="1:44" ht="15.75" x14ac:dyDescent="0.25">
      <c r="D9" s="14"/>
      <c r="S9" s="16" t="s">
        <v>15</v>
      </c>
      <c r="T9" s="126">
        <v>139020</v>
      </c>
      <c r="U9" s="23"/>
      <c r="V9" s="123">
        <f>SUM(V7:V8)</f>
        <v>142910</v>
      </c>
      <c r="W9" s="23"/>
      <c r="X9" s="123">
        <v>139020</v>
      </c>
      <c r="Y9" s="23"/>
      <c r="Z9" s="126">
        <v>139020</v>
      </c>
      <c r="AA9" s="23"/>
      <c r="AB9" s="123">
        <v>139020</v>
      </c>
      <c r="AC9" s="23"/>
      <c r="AD9" s="10">
        <v>139020</v>
      </c>
      <c r="AE9" s="23"/>
      <c r="AF9" s="123">
        <v>139020</v>
      </c>
      <c r="AG9" s="23"/>
      <c r="AH9" s="33">
        <v>139020</v>
      </c>
      <c r="AI9" s="23"/>
      <c r="AJ9" s="33">
        <v>139020</v>
      </c>
      <c r="AK9" s="23"/>
      <c r="AL9" s="33">
        <v>139020</v>
      </c>
      <c r="AM9" s="23"/>
      <c r="AN9" s="33">
        <v>139020</v>
      </c>
      <c r="AO9" s="16"/>
      <c r="AP9" s="33">
        <v>139020</v>
      </c>
      <c r="AQ9" s="29"/>
      <c r="AR9" s="16">
        <f>SUM(AR7:AR7)</f>
        <v>139020</v>
      </c>
    </row>
    <row r="10" spans="1:44" ht="15.75" hidden="1" x14ac:dyDescent="0.25">
      <c r="A10" s="14">
        <v>4752000</v>
      </c>
      <c r="B10" s="14">
        <v>4752000</v>
      </c>
      <c r="C10" s="14">
        <v>4752000</v>
      </c>
      <c r="D10" s="28"/>
      <c r="S10" s="23"/>
      <c r="T10" s="173"/>
      <c r="U10" s="23"/>
      <c r="V10" s="124"/>
      <c r="W10" s="23"/>
      <c r="X10" s="124"/>
      <c r="Y10" s="23"/>
      <c r="Z10" s="173"/>
      <c r="AA10" s="23"/>
      <c r="AB10" s="124"/>
      <c r="AC10" s="23"/>
      <c r="AD10" s="119"/>
      <c r="AE10" s="23"/>
      <c r="AF10" s="132"/>
      <c r="AG10" s="23"/>
      <c r="AH10" s="36"/>
      <c r="AI10" s="23"/>
      <c r="AJ10" s="36"/>
      <c r="AK10" s="23"/>
      <c r="AL10" s="36"/>
      <c r="AM10" s="23"/>
      <c r="AN10" s="36"/>
      <c r="AO10" s="23"/>
      <c r="AP10" s="36"/>
      <c r="AQ10" s="30"/>
      <c r="AR10" s="23"/>
    </row>
    <row r="11" spans="1:44" ht="15.75" hidden="1" x14ac:dyDescent="0.25">
      <c r="A11" s="14">
        <v>4027000</v>
      </c>
      <c r="B11" s="14">
        <v>4027000</v>
      </c>
      <c r="C11" s="14">
        <v>4027000</v>
      </c>
      <c r="D11" s="14"/>
      <c r="E11" s="2"/>
      <c r="S11" s="18"/>
      <c r="T11" s="173"/>
      <c r="U11" s="23"/>
      <c r="V11" s="127"/>
      <c r="W11" s="23"/>
      <c r="X11" s="127"/>
      <c r="Y11" s="23"/>
      <c r="Z11" s="173"/>
      <c r="AA11" s="23"/>
      <c r="AB11" s="127"/>
      <c r="AC11" s="23"/>
      <c r="AD11" s="119"/>
      <c r="AE11" s="23"/>
      <c r="AF11" s="133"/>
      <c r="AG11" s="23"/>
      <c r="AH11" s="32"/>
      <c r="AI11" s="23"/>
      <c r="AJ11" s="32"/>
      <c r="AK11" s="23"/>
      <c r="AL11" s="32"/>
      <c r="AM11" s="23"/>
      <c r="AN11" s="32"/>
      <c r="AO11" s="18"/>
      <c r="AP11" s="32"/>
      <c r="AQ11" s="31"/>
      <c r="AR11" s="18"/>
    </row>
    <row r="12" spans="1:44" ht="18.75" x14ac:dyDescent="0.3">
      <c r="B12" s="2"/>
      <c r="C12" s="2"/>
      <c r="D12" s="14"/>
      <c r="F12" s="73" t="s">
        <v>80</v>
      </c>
      <c r="G12" s="74"/>
      <c r="H12" s="74"/>
      <c r="I12" s="74"/>
      <c r="J12" s="75"/>
      <c r="S12" s="7" t="s">
        <v>17</v>
      </c>
      <c r="T12" s="173"/>
      <c r="U12" s="176"/>
      <c r="V12" s="127"/>
      <c r="W12" s="176"/>
      <c r="X12" s="127"/>
      <c r="Y12" s="176"/>
      <c r="Z12" s="173"/>
      <c r="AA12" s="176"/>
      <c r="AB12" s="127"/>
      <c r="AC12" s="176"/>
      <c r="AD12" s="119"/>
      <c r="AE12" s="176"/>
      <c r="AF12" s="133"/>
      <c r="AG12" s="176"/>
      <c r="AH12" s="32"/>
      <c r="AI12" s="176"/>
      <c r="AJ12" s="32"/>
      <c r="AK12" s="176"/>
      <c r="AL12" s="32"/>
      <c r="AM12" s="176"/>
      <c r="AN12" s="32"/>
      <c r="AO12" s="7"/>
      <c r="AP12" s="32"/>
      <c r="AQ12" s="27"/>
      <c r="AR12" s="4"/>
    </row>
    <row r="13" spans="1:44" ht="15.75" x14ac:dyDescent="0.25">
      <c r="A13" s="103" t="s">
        <v>146</v>
      </c>
      <c r="B13" s="103" t="s">
        <v>147</v>
      </c>
      <c r="C13" s="72" t="s">
        <v>123</v>
      </c>
      <c r="D13" s="14"/>
      <c r="F13" s="76" t="s">
        <v>81</v>
      </c>
      <c r="G13" s="77"/>
      <c r="H13" s="78"/>
      <c r="S13" s="9" t="s">
        <v>18</v>
      </c>
      <c r="T13" s="126"/>
      <c r="U13" s="23"/>
      <c r="V13" s="126"/>
      <c r="W13" s="23"/>
      <c r="X13" s="126"/>
      <c r="Y13" s="23"/>
      <c r="Z13" s="126"/>
      <c r="AA13" s="23"/>
      <c r="AB13" s="126"/>
      <c r="AC13" s="23"/>
      <c r="AD13" s="10"/>
      <c r="AE13" s="23"/>
      <c r="AF13" s="130"/>
      <c r="AG13" s="23"/>
      <c r="AH13" s="10"/>
      <c r="AI13" s="23"/>
      <c r="AJ13" s="10"/>
      <c r="AK13" s="23"/>
      <c r="AL13" s="10"/>
      <c r="AM13" s="23"/>
      <c r="AN13" s="10"/>
      <c r="AO13" s="9"/>
      <c r="AP13" s="10"/>
      <c r="AQ13" s="10"/>
      <c r="AR13" s="13"/>
    </row>
    <row r="14" spans="1:44" ht="15.75" x14ac:dyDescent="0.25">
      <c r="A14" s="14" t="e">
        <f>B14+B15-1</f>
        <v>#REF!</v>
      </c>
      <c r="B14" s="14">
        <f>C14+C15</f>
        <v>-401775</v>
      </c>
      <c r="C14" s="14">
        <v>-353607</v>
      </c>
      <c r="F14" s="83">
        <f>-(I39*C6+I45*C5)</f>
        <v>-173768.22999999998</v>
      </c>
      <c r="G14" s="84">
        <f>-(I39*C6+I46*C5)</f>
        <v>-88401.14</v>
      </c>
      <c r="H14" s="84" t="e">
        <f>-(I39*#REF!+I47*#REF!+#REF!*I43)</f>
        <v>#REF!</v>
      </c>
      <c r="M14" s="58" t="s">
        <v>90</v>
      </c>
      <c r="N14" s="88"/>
      <c r="O14" s="59" t="s">
        <v>91</v>
      </c>
      <c r="P14" s="89" t="s">
        <v>92</v>
      </c>
      <c r="S14" s="2" t="s">
        <v>24</v>
      </c>
      <c r="T14" s="120">
        <v>-11000</v>
      </c>
      <c r="U14" s="25"/>
      <c r="V14" s="104">
        <v>-6561</v>
      </c>
      <c r="W14" s="25"/>
      <c r="X14" s="104">
        <v>-7725</v>
      </c>
      <c r="Y14" s="25"/>
      <c r="Z14" s="120">
        <v>-5000</v>
      </c>
      <c r="AA14" s="25"/>
      <c r="AB14" s="104">
        <f>-27291-4477</f>
        <v>-31768</v>
      </c>
      <c r="AC14" s="25"/>
      <c r="AD14" s="120">
        <v>-10000</v>
      </c>
      <c r="AE14" s="25"/>
      <c r="AF14" s="104">
        <f>-5614-700</f>
        <v>-6314</v>
      </c>
      <c r="AG14" s="25"/>
      <c r="AH14" s="104">
        <f>-2120-1219-2003</f>
        <v>-5342</v>
      </c>
      <c r="AI14" s="25"/>
      <c r="AJ14" s="104">
        <f>-2069-5983-3000-1025.03</f>
        <v>-12077.03</v>
      </c>
      <c r="AK14" s="25"/>
      <c r="AL14" s="35">
        <f>-55525-19208-3662-600</f>
        <v>-78995</v>
      </c>
      <c r="AM14" s="25"/>
      <c r="AN14" s="35">
        <v>-3106</v>
      </c>
      <c r="AO14" s="2"/>
      <c r="AP14" s="35">
        <v>0</v>
      </c>
      <c r="AQ14" s="32"/>
      <c r="AR14" s="35">
        <v>-700</v>
      </c>
    </row>
    <row r="15" spans="1:44" ht="16.5" thickBot="1" x14ac:dyDescent="0.3">
      <c r="A15" s="81" t="e">
        <f>+H14</f>
        <v>#REF!</v>
      </c>
      <c r="B15" s="81" t="e">
        <f>+H14</f>
        <v>#REF!</v>
      </c>
      <c r="C15" s="81">
        <v>-48168</v>
      </c>
      <c r="M15" s="90" t="s">
        <v>93</v>
      </c>
      <c r="N15" s="90"/>
      <c r="O15" s="90">
        <v>20</v>
      </c>
      <c r="P15" s="91">
        <f>1/O15</f>
        <v>0.05</v>
      </c>
      <c r="S15" s="2" t="s">
        <v>26</v>
      </c>
      <c r="T15" s="120">
        <v>-20000</v>
      </c>
      <c r="U15" s="25"/>
      <c r="V15" s="104">
        <v>-19642</v>
      </c>
      <c r="W15" s="25"/>
      <c r="X15" s="104">
        <v>-15133</v>
      </c>
      <c r="Y15" s="25"/>
      <c r="Z15" s="120">
        <v>-16000</v>
      </c>
      <c r="AA15" s="25"/>
      <c r="AB15" s="104">
        <v>-15792</v>
      </c>
      <c r="AC15" s="25"/>
      <c r="AD15" s="120">
        <v>-13000</v>
      </c>
      <c r="AE15" s="25"/>
      <c r="AF15" s="104">
        <v>-13707</v>
      </c>
      <c r="AG15" s="25"/>
      <c r="AH15" s="104">
        <v>-12619</v>
      </c>
      <c r="AI15" s="25"/>
      <c r="AJ15" s="104">
        <v>-12669</v>
      </c>
      <c r="AK15" s="25"/>
      <c r="AL15" s="35">
        <v>-9750</v>
      </c>
      <c r="AM15" s="25"/>
      <c r="AN15" s="35">
        <v>-9182</v>
      </c>
      <c r="AO15" s="2"/>
      <c r="AP15" s="35">
        <v>0</v>
      </c>
      <c r="AQ15" s="28"/>
      <c r="AR15" s="35">
        <v>22201</v>
      </c>
    </row>
    <row r="16" spans="1:44" ht="16.5" thickTop="1" x14ac:dyDescent="0.25">
      <c r="A16" s="86" t="e">
        <f>SUM(A14:A15)</f>
        <v>#REF!</v>
      </c>
      <c r="B16" s="86" t="e">
        <f>SUM(B14:B15)</f>
        <v>#REF!</v>
      </c>
      <c r="C16" s="86">
        <f>SUM(C14:C15)</f>
        <v>-401775</v>
      </c>
      <c r="D16" s="47"/>
      <c r="M16" s="90" t="s">
        <v>96</v>
      </c>
      <c r="N16" s="90"/>
      <c r="O16" s="90">
        <v>50</v>
      </c>
      <c r="P16" s="92">
        <f>1/O16</f>
        <v>0.02</v>
      </c>
      <c r="S16" s="2" t="s">
        <v>27</v>
      </c>
      <c r="T16" s="120">
        <v>-14000</v>
      </c>
      <c r="U16" s="25"/>
      <c r="V16" s="104">
        <v>-11913</v>
      </c>
      <c r="W16" s="25"/>
      <c r="X16" s="104">
        <v>-11920</v>
      </c>
      <c r="Y16" s="25"/>
      <c r="Z16" s="120">
        <v>-15000</v>
      </c>
      <c r="AA16" s="25"/>
      <c r="AB16" s="104">
        <v>-13319</v>
      </c>
      <c r="AC16" s="25"/>
      <c r="AD16" s="120">
        <v>-10000</v>
      </c>
      <c r="AE16" s="25"/>
      <c r="AF16" s="104">
        <f>-8479-1761</f>
        <v>-10240</v>
      </c>
      <c r="AG16" s="25"/>
      <c r="AH16" s="104">
        <v>-10185</v>
      </c>
      <c r="AI16" s="25"/>
      <c r="AJ16" s="104">
        <v>-10025</v>
      </c>
      <c r="AK16" s="25"/>
      <c r="AL16" s="35">
        <v>-6979</v>
      </c>
      <c r="AM16" s="25"/>
      <c r="AN16" s="35">
        <v>-11899</v>
      </c>
      <c r="AO16" s="2"/>
      <c r="AP16" s="35">
        <v>-26444</v>
      </c>
      <c r="AQ16" s="28"/>
      <c r="AR16" s="35">
        <v>-3969</v>
      </c>
    </row>
    <row r="17" spans="1:44" ht="15.75" x14ac:dyDescent="0.25">
      <c r="A17" s="14"/>
      <c r="B17" s="14"/>
      <c r="C17" s="14"/>
      <c r="M17" s="90" t="s">
        <v>96</v>
      </c>
      <c r="N17" s="90"/>
      <c r="O17" s="90">
        <v>100</v>
      </c>
      <c r="P17" s="92">
        <f>1/O17</f>
        <v>0.01</v>
      </c>
      <c r="S17" s="2" t="s">
        <v>29</v>
      </c>
      <c r="T17" s="120">
        <v>-50000</v>
      </c>
      <c r="U17" s="25"/>
      <c r="V17" s="104">
        <v>-46778</v>
      </c>
      <c r="W17" s="25"/>
      <c r="X17" s="104">
        <v>-47582</v>
      </c>
      <c r="Y17" s="25"/>
      <c r="Z17" s="120">
        <v>-50000</v>
      </c>
      <c r="AA17" s="25"/>
      <c r="AB17" s="104">
        <v>-47870</v>
      </c>
      <c r="AC17" s="25"/>
      <c r="AD17" s="120">
        <v>-42000</v>
      </c>
      <c r="AE17" s="25"/>
      <c r="AF17" s="104">
        <f>-37505-5393</f>
        <v>-42898</v>
      </c>
      <c r="AG17" s="25"/>
      <c r="AH17" s="104">
        <v>-42135</v>
      </c>
      <c r="AI17" s="25"/>
      <c r="AJ17" s="104">
        <v>-42621</v>
      </c>
      <c r="AK17" s="25"/>
      <c r="AL17" s="35">
        <v>-41525</v>
      </c>
      <c r="AM17" s="25"/>
      <c r="AN17" s="35">
        <v>-36224</v>
      </c>
      <c r="AO17" s="2"/>
      <c r="AP17" s="35">
        <v>-10002</v>
      </c>
      <c r="AQ17" s="28"/>
      <c r="AR17" s="35">
        <v>-10284</v>
      </c>
    </row>
    <row r="18" spans="1:44" ht="15.75" x14ac:dyDescent="0.25">
      <c r="B18" s="87"/>
      <c r="C18" s="87"/>
      <c r="M18" s="90" t="s">
        <v>96</v>
      </c>
      <c r="N18" s="90"/>
      <c r="O18" s="90">
        <v>200</v>
      </c>
      <c r="P18" s="92">
        <f>1/O18</f>
        <v>5.0000000000000001E-3</v>
      </c>
      <c r="S18" s="2" t="s">
        <v>30</v>
      </c>
      <c r="T18" s="120">
        <v>-12000</v>
      </c>
      <c r="U18" s="25"/>
      <c r="V18" s="104">
        <v>-11174</v>
      </c>
      <c r="W18" s="25"/>
      <c r="X18" s="104">
        <v>-12315</v>
      </c>
      <c r="Y18" s="25"/>
      <c r="Z18" s="120">
        <v>-12000</v>
      </c>
      <c r="AA18" s="25"/>
      <c r="AB18" s="104">
        <v>-11134</v>
      </c>
      <c r="AC18" s="25"/>
      <c r="AD18" s="120">
        <v>-9000</v>
      </c>
      <c r="AE18" s="25"/>
      <c r="AF18" s="104">
        <v>-9211</v>
      </c>
      <c r="AG18" s="25"/>
      <c r="AH18" s="104">
        <v>-8335</v>
      </c>
      <c r="AI18" s="25"/>
      <c r="AJ18" s="104">
        <v>-8261.65</v>
      </c>
      <c r="AK18" s="25"/>
      <c r="AL18" s="35">
        <v>-8322</v>
      </c>
      <c r="AM18" s="25"/>
      <c r="AN18" s="35">
        <v>-8399</v>
      </c>
      <c r="AO18" s="2"/>
      <c r="AP18" s="35">
        <v>-7102</v>
      </c>
      <c r="AQ18" s="28"/>
      <c r="AR18" s="35">
        <v>-8227</v>
      </c>
    </row>
    <row r="19" spans="1:44" ht="15.75" x14ac:dyDescent="0.25">
      <c r="A19" s="14">
        <f>+B4-B5</f>
        <v>-8536709</v>
      </c>
      <c r="B19" s="14">
        <f>+C4-C5</f>
        <v>-8536709</v>
      </c>
      <c r="C19" s="14">
        <v>1542051</v>
      </c>
      <c r="S19" s="2" t="s">
        <v>153</v>
      </c>
      <c r="T19" s="120">
        <v>-9000</v>
      </c>
      <c r="U19" s="25"/>
      <c r="V19" s="104">
        <v>-8866</v>
      </c>
      <c r="W19" s="25"/>
      <c r="X19" s="104">
        <v>-6877</v>
      </c>
      <c r="Y19" s="25"/>
      <c r="Z19" s="120">
        <v>-8000</v>
      </c>
      <c r="AA19" s="25"/>
      <c r="AB19" s="104">
        <v>-7948</v>
      </c>
      <c r="AC19" s="25"/>
      <c r="AD19" s="120">
        <v>-7000</v>
      </c>
      <c r="AE19" s="25"/>
      <c r="AF19" s="104">
        <v>-6422</v>
      </c>
      <c r="AG19" s="25"/>
      <c r="AH19" s="104">
        <v>-6844</v>
      </c>
      <c r="AI19" s="25"/>
      <c r="AJ19" s="104">
        <v>-5811</v>
      </c>
      <c r="AK19" s="25"/>
      <c r="AL19" s="35">
        <v>-6137</v>
      </c>
      <c r="AM19" s="25"/>
      <c r="AN19" s="35">
        <v>-5683</v>
      </c>
      <c r="AO19" s="2"/>
      <c r="AP19" s="35">
        <v>-38929</v>
      </c>
      <c r="AQ19" s="28"/>
      <c r="AR19" s="35">
        <v>-38449</v>
      </c>
    </row>
    <row r="20" spans="1:44" ht="15.75" x14ac:dyDescent="0.25">
      <c r="A20" s="95"/>
      <c r="B20" s="14"/>
      <c r="C20" s="14"/>
      <c r="S20" s="2" t="s">
        <v>224</v>
      </c>
      <c r="T20" s="120">
        <v>-4000</v>
      </c>
      <c r="U20" s="25"/>
      <c r="V20" s="104">
        <f>-852+1</f>
        <v>-851</v>
      </c>
      <c r="W20" s="25"/>
      <c r="X20" s="104">
        <v>-1578</v>
      </c>
      <c r="Y20" s="25"/>
      <c r="Z20" s="120">
        <v>-5000</v>
      </c>
      <c r="AA20" s="25"/>
      <c r="AB20" s="104">
        <v>-148</v>
      </c>
      <c r="AC20" s="25"/>
      <c r="AD20" s="120">
        <v>-2000</v>
      </c>
      <c r="AE20" s="25"/>
      <c r="AF20" s="104">
        <v>-209</v>
      </c>
      <c r="AG20" s="25"/>
      <c r="AH20" s="104">
        <v>0</v>
      </c>
      <c r="AI20" s="25"/>
      <c r="AJ20" s="104">
        <v>-716.95</v>
      </c>
      <c r="AK20" s="25"/>
      <c r="AL20" s="35">
        <v>-5307</v>
      </c>
      <c r="AM20" s="25"/>
      <c r="AN20" s="35">
        <v>-2023</v>
      </c>
      <c r="AO20" s="2"/>
      <c r="AP20" s="35">
        <v>-8540</v>
      </c>
      <c r="AQ20" s="28"/>
      <c r="AR20" s="35">
        <v>-10333</v>
      </c>
    </row>
    <row r="21" spans="1:44" ht="15.75" x14ac:dyDescent="0.25">
      <c r="A21" s="95"/>
      <c r="B21" s="14"/>
      <c r="C21" s="14"/>
      <c r="S21" s="2" t="s">
        <v>33</v>
      </c>
      <c r="T21" s="120">
        <v>-4000</v>
      </c>
      <c r="U21" s="25"/>
      <c r="V21" s="104">
        <v>-249</v>
      </c>
      <c r="W21" s="25"/>
      <c r="X21" s="104">
        <v>0</v>
      </c>
      <c r="Y21" s="25"/>
      <c r="Z21" s="120">
        <v>0</v>
      </c>
      <c r="AA21" s="25"/>
      <c r="AB21" s="104">
        <v>-11828</v>
      </c>
      <c r="AC21" s="25"/>
      <c r="AD21" s="120">
        <v>0</v>
      </c>
      <c r="AE21" s="25"/>
      <c r="AF21" s="104">
        <v>0</v>
      </c>
      <c r="AG21" s="25"/>
      <c r="AH21" s="104">
        <v>0</v>
      </c>
      <c r="AI21" s="25"/>
      <c r="AJ21" s="104">
        <v>0</v>
      </c>
      <c r="AK21" s="25"/>
      <c r="AL21" s="35">
        <v>-11785</v>
      </c>
      <c r="AM21" s="25"/>
      <c r="AN21" s="35">
        <f>-1097-648</f>
        <v>-1745</v>
      </c>
      <c r="AO21" s="2"/>
      <c r="AP21" s="35">
        <v>-5427</v>
      </c>
      <c r="AQ21" s="28"/>
      <c r="AR21" s="35">
        <v>-5448</v>
      </c>
    </row>
    <row r="22" spans="1:44" ht="15.75" x14ac:dyDescent="0.25">
      <c r="A22" s="95"/>
      <c r="B22" s="14"/>
      <c r="C22" s="14"/>
      <c r="S22" s="2" t="s">
        <v>35</v>
      </c>
      <c r="T22" s="120">
        <v>-3000</v>
      </c>
      <c r="U22" s="25"/>
      <c r="V22" s="104">
        <v>0</v>
      </c>
      <c r="W22" s="25"/>
      <c r="X22" s="104">
        <v>0</v>
      </c>
      <c r="Y22" s="25"/>
      <c r="Z22" s="120">
        <v>-8000</v>
      </c>
      <c r="AA22" s="25"/>
      <c r="AB22" s="104">
        <v>-11181.5</v>
      </c>
      <c r="AC22" s="25"/>
      <c r="AD22" s="120">
        <v>-5000</v>
      </c>
      <c r="AE22" s="25"/>
      <c r="AF22" s="104">
        <v>-1313</v>
      </c>
      <c r="AG22" s="25"/>
      <c r="AH22" s="104">
        <v>-5520</v>
      </c>
      <c r="AI22" s="25"/>
      <c r="AJ22" s="104">
        <v>-6987</v>
      </c>
      <c r="AK22" s="25"/>
      <c r="AL22" s="35">
        <v>-6553</v>
      </c>
      <c r="AM22" s="25"/>
      <c r="AN22" s="35">
        <v>-1453</v>
      </c>
      <c r="AO22" s="2"/>
      <c r="AP22" s="35">
        <v>-131</v>
      </c>
      <c r="AQ22" s="28"/>
      <c r="AR22" s="35">
        <v>-778</v>
      </c>
    </row>
    <row r="23" spans="1:44" ht="15.75" x14ac:dyDescent="0.25">
      <c r="A23" s="95"/>
      <c r="B23" s="14"/>
      <c r="C23" s="14"/>
      <c r="S23" s="2" t="s">
        <v>37</v>
      </c>
      <c r="T23" s="120">
        <v>-2500</v>
      </c>
      <c r="U23" s="25"/>
      <c r="V23" s="104">
        <v>-1782</v>
      </c>
      <c r="W23" s="25"/>
      <c r="X23" s="104">
        <v>-2376</v>
      </c>
      <c r="Y23" s="25"/>
      <c r="Z23" s="120">
        <v>-2500</v>
      </c>
      <c r="AA23" s="25"/>
      <c r="AB23" s="104">
        <v>-2436</v>
      </c>
      <c r="AC23" s="25"/>
      <c r="AD23" s="120">
        <v>-2500</v>
      </c>
      <c r="AE23" s="25"/>
      <c r="AF23" s="104">
        <v>-2436</v>
      </c>
      <c r="AG23" s="25"/>
      <c r="AH23" s="104">
        <v>-2400</v>
      </c>
      <c r="AI23" s="25"/>
      <c r="AJ23" s="104">
        <v>-2424</v>
      </c>
      <c r="AK23" s="25"/>
      <c r="AL23" s="35">
        <v>-2858</v>
      </c>
      <c r="AM23" s="25"/>
      <c r="AN23" s="35">
        <f>-3200-2252</f>
        <v>-5452</v>
      </c>
      <c r="AO23" s="2"/>
      <c r="AP23" s="35">
        <v>-1757</v>
      </c>
      <c r="AQ23" s="28"/>
      <c r="AR23" s="35">
        <v>0</v>
      </c>
    </row>
    <row r="24" spans="1:44" ht="14.45" customHeight="1" thickBot="1" x14ac:dyDescent="0.3">
      <c r="A24" s="95"/>
      <c r="B24" s="14"/>
      <c r="C24" s="14"/>
      <c r="S24" s="2" t="s">
        <v>39</v>
      </c>
      <c r="T24" s="121">
        <v>-1500</v>
      </c>
      <c r="U24" s="25"/>
      <c r="V24" s="105">
        <v>-1351</v>
      </c>
      <c r="W24" s="25"/>
      <c r="X24" s="105">
        <v>-1355</v>
      </c>
      <c r="Y24" s="25"/>
      <c r="Z24" s="121">
        <v>-1500</v>
      </c>
      <c r="AA24" s="25"/>
      <c r="AB24" s="105">
        <v>-1351</v>
      </c>
      <c r="AC24" s="25"/>
      <c r="AD24" s="121">
        <v>-1200</v>
      </c>
      <c r="AE24" s="25"/>
      <c r="AF24" s="105">
        <v>-1111</v>
      </c>
      <c r="AG24" s="25"/>
      <c r="AH24" s="105">
        <v>-1146.5</v>
      </c>
      <c r="AI24" s="25"/>
      <c r="AJ24" s="105">
        <v>-1148</v>
      </c>
      <c r="AK24" s="25"/>
      <c r="AL24" s="42">
        <v>-1142</v>
      </c>
      <c r="AM24" s="25"/>
      <c r="AN24" s="42">
        <v>-914</v>
      </c>
      <c r="AO24" s="2"/>
      <c r="AP24" s="35">
        <v>0</v>
      </c>
      <c r="AQ24" s="28"/>
      <c r="AR24" s="35">
        <v>-1549</v>
      </c>
    </row>
    <row r="25" spans="1:44" ht="15.6" customHeight="1" thickTop="1" x14ac:dyDescent="0.25">
      <c r="A25" s="95"/>
      <c r="B25" s="14"/>
      <c r="C25" s="14"/>
      <c r="S25" s="16" t="s">
        <v>41</v>
      </c>
      <c r="T25" s="126">
        <f>SUM(T14:T24)</f>
        <v>-131000</v>
      </c>
      <c r="U25" s="23"/>
      <c r="V25" s="123">
        <f>SUM(V14:V24)</f>
        <v>-109167</v>
      </c>
      <c r="W25" s="23"/>
      <c r="X25" s="123">
        <f>SUM(X14:X24)</f>
        <v>-106861</v>
      </c>
      <c r="Y25" s="23"/>
      <c r="Z25" s="126">
        <f>SUM(Z14:Z24)</f>
        <v>-123000</v>
      </c>
      <c r="AA25" s="23"/>
      <c r="AB25" s="123">
        <f>SUM(AB14:AB24)</f>
        <v>-154775.5</v>
      </c>
      <c r="AC25" s="23"/>
      <c r="AD25" s="10">
        <f>SUM(AD14:AD24)</f>
        <v>-101700</v>
      </c>
      <c r="AE25" s="23"/>
      <c r="AF25" s="123">
        <f>SUM(AF14:AF24)</f>
        <v>-93861</v>
      </c>
      <c r="AG25" s="23"/>
      <c r="AH25" s="33">
        <f>SUM(AH14:AH24)</f>
        <v>-94526.5</v>
      </c>
      <c r="AI25" s="23"/>
      <c r="AJ25" s="33">
        <f>SUM(AJ14:AJ24)</f>
        <v>-102740.62999999999</v>
      </c>
      <c r="AK25" s="23"/>
      <c r="AL25" s="33">
        <f>SUM(AL14:AL24)</f>
        <v>-179353</v>
      </c>
      <c r="AM25" s="23"/>
      <c r="AN25" s="33">
        <f>SUM(AN14:AN24)</f>
        <v>-86080</v>
      </c>
      <c r="AO25" s="16"/>
      <c r="AP25" s="35">
        <f>-1000-2252</f>
        <v>-3252</v>
      </c>
      <c r="AQ25" s="28"/>
      <c r="AR25" s="35">
        <v>-3526</v>
      </c>
    </row>
    <row r="26" spans="1:44" ht="15.6" customHeight="1" x14ac:dyDescent="0.25">
      <c r="A26" s="95"/>
      <c r="B26" s="14"/>
      <c r="C26" s="14"/>
      <c r="S26" s="23"/>
      <c r="T26" s="173"/>
      <c r="U26" s="23"/>
      <c r="V26" s="124"/>
      <c r="W26" s="23"/>
      <c r="X26" s="124"/>
      <c r="Y26" s="23"/>
      <c r="Z26" s="159"/>
      <c r="AA26" s="23"/>
      <c r="AB26" s="124"/>
      <c r="AC26" s="23"/>
      <c r="AD26" s="159"/>
      <c r="AE26" s="23"/>
      <c r="AF26" s="124"/>
      <c r="AG26" s="23"/>
      <c r="AH26" s="36"/>
      <c r="AI26" s="23"/>
      <c r="AJ26" s="36"/>
      <c r="AK26" s="23"/>
      <c r="AL26" s="36"/>
      <c r="AM26" s="23"/>
      <c r="AN26" s="36"/>
      <c r="AO26" s="16"/>
      <c r="AP26" s="35"/>
      <c r="AQ26" s="28"/>
      <c r="AR26" s="35"/>
    </row>
    <row r="27" spans="1:44" ht="15.6" customHeight="1" x14ac:dyDescent="0.25">
      <c r="A27" s="95"/>
      <c r="B27" s="14"/>
      <c r="C27" s="14"/>
      <c r="S27" s="16" t="s">
        <v>212</v>
      </c>
      <c r="T27" s="126">
        <f>T9+T25</f>
        <v>8020</v>
      </c>
      <c r="U27" s="124"/>
      <c r="V27" s="126">
        <f>V9+V25</f>
        <v>33743</v>
      </c>
      <c r="W27" s="124"/>
      <c r="X27" s="126">
        <f>X9+X25</f>
        <v>32159</v>
      </c>
      <c r="Y27" s="124"/>
      <c r="Z27" s="126">
        <f>Z9+Z25</f>
        <v>16020</v>
      </c>
      <c r="AA27" s="124"/>
      <c r="AB27" s="126">
        <f>AB9+AB25</f>
        <v>-15755.5</v>
      </c>
      <c r="AC27" s="124"/>
      <c r="AD27" s="126">
        <f>AD9+AD25</f>
        <v>37320</v>
      </c>
      <c r="AE27" s="124"/>
      <c r="AF27" s="126">
        <f>AF9+AF25</f>
        <v>45159</v>
      </c>
      <c r="AG27" s="124"/>
      <c r="AH27" s="126">
        <f>AH9+AH25</f>
        <v>44493.5</v>
      </c>
      <c r="AI27" s="124"/>
      <c r="AJ27" s="126">
        <f>AJ9+AJ25</f>
        <v>36279.37000000001</v>
      </c>
      <c r="AK27" s="124"/>
      <c r="AL27" s="126">
        <f>AL9+AL25</f>
        <v>-40333</v>
      </c>
      <c r="AM27" s="124"/>
      <c r="AN27" s="126">
        <f>AN9+AN25</f>
        <v>52940</v>
      </c>
      <c r="AO27" s="16"/>
      <c r="AP27" s="35"/>
      <c r="AQ27" s="28"/>
      <c r="AR27" s="35"/>
    </row>
    <row r="28" spans="1:44" ht="16.5" thickBot="1" x14ac:dyDescent="0.3">
      <c r="A28" s="95"/>
      <c r="B28" s="14"/>
      <c r="C28" s="14"/>
      <c r="S28" s="23"/>
      <c r="T28" s="173"/>
      <c r="U28" s="23"/>
      <c r="V28" s="124"/>
      <c r="W28" s="23"/>
      <c r="X28" s="124"/>
      <c r="Y28" s="23"/>
      <c r="Z28" s="159"/>
      <c r="AA28" s="23"/>
      <c r="AB28" s="124"/>
      <c r="AC28" s="23"/>
      <c r="AD28" s="119"/>
      <c r="AE28" s="23"/>
      <c r="AF28" s="132"/>
      <c r="AG28" s="23"/>
      <c r="AH28" s="36"/>
      <c r="AI28" s="23"/>
      <c r="AJ28" s="36"/>
      <c r="AK28" s="23"/>
      <c r="AL28" s="36"/>
      <c r="AM28" s="23"/>
      <c r="AN28" s="36"/>
      <c r="AO28" s="23"/>
      <c r="AP28" s="42">
        <v>-1165</v>
      </c>
      <c r="AQ28" s="28"/>
      <c r="AR28" s="42">
        <v>-866</v>
      </c>
    </row>
    <row r="29" spans="1:44" ht="16.5" thickTop="1" x14ac:dyDescent="0.25">
      <c r="A29" s="95"/>
      <c r="B29" s="14"/>
      <c r="C29" s="14"/>
      <c r="S29" s="38" t="s">
        <v>62</v>
      </c>
      <c r="T29" s="126">
        <v>-8000</v>
      </c>
      <c r="U29" s="23"/>
      <c r="V29" s="125">
        <v>-7595</v>
      </c>
      <c r="W29" s="23"/>
      <c r="X29" s="125">
        <v>-7295</v>
      </c>
      <c r="Y29" s="23"/>
      <c r="Z29" s="126">
        <v>-8000</v>
      </c>
      <c r="AA29" s="23"/>
      <c r="AB29" s="125">
        <v>-7145</v>
      </c>
      <c r="AC29" s="23"/>
      <c r="AD29" s="10">
        <v>-7000</v>
      </c>
      <c r="AE29" s="23"/>
      <c r="AF29" s="125">
        <v>-6885</v>
      </c>
      <c r="AG29" s="23"/>
      <c r="AH29" s="39">
        <v>-6685</v>
      </c>
      <c r="AI29" s="23"/>
      <c r="AJ29" s="39">
        <v>-3285</v>
      </c>
      <c r="AK29" s="23"/>
      <c r="AL29" s="39">
        <v>-3170</v>
      </c>
      <c r="AM29" s="23"/>
      <c r="AN29" s="39">
        <v>-3105</v>
      </c>
      <c r="AO29" s="38"/>
      <c r="AP29" s="33">
        <f>SUM(AP14:AP28)</f>
        <v>-102749</v>
      </c>
      <c r="AQ29" s="33"/>
      <c r="AR29" s="16">
        <f>SUM(AR14:AR28)</f>
        <v>-61928</v>
      </c>
    </row>
    <row r="30" spans="1:44" ht="15.75" x14ac:dyDescent="0.25">
      <c r="F30" s="58" t="s">
        <v>90</v>
      </c>
      <c r="G30" s="88"/>
      <c r="H30" s="59" t="s">
        <v>91</v>
      </c>
      <c r="I30" s="89" t="s">
        <v>92</v>
      </c>
      <c r="S30" s="14"/>
      <c r="T30" s="120"/>
      <c r="U30" s="177"/>
      <c r="V30" s="104"/>
      <c r="W30" s="177"/>
      <c r="X30" s="104"/>
      <c r="Y30" s="177"/>
      <c r="Z30" s="158"/>
      <c r="AA30" s="177"/>
      <c r="AB30" s="104"/>
      <c r="AC30" s="177"/>
      <c r="AD30" s="118"/>
      <c r="AE30" s="177"/>
      <c r="AF30" s="131"/>
      <c r="AG30" s="177"/>
      <c r="AH30" s="35"/>
      <c r="AI30" s="177"/>
      <c r="AJ30" s="35"/>
      <c r="AK30" s="177"/>
      <c r="AL30" s="35"/>
      <c r="AM30" s="177"/>
      <c r="AN30" s="35"/>
      <c r="AO30" s="14"/>
      <c r="AP30" s="36"/>
      <c r="AQ30" s="36"/>
      <c r="AR30" s="23"/>
    </row>
    <row r="31" spans="1:44" ht="15.75" x14ac:dyDescent="0.25">
      <c r="F31" s="58"/>
      <c r="G31" s="88"/>
      <c r="H31" s="59"/>
      <c r="I31" s="89"/>
      <c r="S31" s="9" t="s">
        <v>250</v>
      </c>
      <c r="T31" s="126">
        <f>T27+T29</f>
        <v>20</v>
      </c>
      <c r="U31" s="126"/>
      <c r="V31" s="126">
        <f t="shared" ref="V31:AN31" si="0">V27+V29</f>
        <v>26148</v>
      </c>
      <c r="W31" s="126"/>
      <c r="X31" s="126">
        <f t="shared" si="0"/>
        <v>24864</v>
      </c>
      <c r="Y31" s="126"/>
      <c r="Z31" s="126">
        <f t="shared" si="0"/>
        <v>8020</v>
      </c>
      <c r="AA31" s="126">
        <f t="shared" si="0"/>
        <v>0</v>
      </c>
      <c r="AB31" s="126">
        <f t="shared" si="0"/>
        <v>-22900.5</v>
      </c>
      <c r="AC31" s="126"/>
      <c r="AD31" s="126">
        <f t="shared" si="0"/>
        <v>30320</v>
      </c>
      <c r="AE31" s="126">
        <f t="shared" si="0"/>
        <v>0</v>
      </c>
      <c r="AF31" s="126">
        <f t="shared" si="0"/>
        <v>38274</v>
      </c>
      <c r="AG31" s="126"/>
      <c r="AH31" s="126">
        <f t="shared" si="0"/>
        <v>37808.5</v>
      </c>
      <c r="AI31" s="126"/>
      <c r="AJ31" s="126">
        <f t="shared" si="0"/>
        <v>32994.37000000001</v>
      </c>
      <c r="AK31" s="126"/>
      <c r="AL31" s="126">
        <f t="shared" si="0"/>
        <v>-43503</v>
      </c>
      <c r="AM31" s="126"/>
      <c r="AN31" s="126">
        <f t="shared" si="0"/>
        <v>49835</v>
      </c>
      <c r="AO31" s="9"/>
      <c r="AP31" s="39">
        <v>-3040</v>
      </c>
      <c r="AQ31" s="39"/>
      <c r="AR31" s="39">
        <v>-3025</v>
      </c>
    </row>
    <row r="32" spans="1:44" ht="15.75" x14ac:dyDescent="0.25">
      <c r="F32" s="58"/>
      <c r="G32" s="88"/>
      <c r="H32" s="59"/>
      <c r="I32" s="89"/>
      <c r="S32" s="2" t="s">
        <v>45</v>
      </c>
      <c r="T32" s="120">
        <v>500</v>
      </c>
      <c r="U32" s="25"/>
      <c r="V32" s="104">
        <v>148</v>
      </c>
      <c r="W32" s="25"/>
      <c r="X32" s="104">
        <v>0</v>
      </c>
      <c r="Y32" s="25"/>
      <c r="Z32" s="120">
        <v>0</v>
      </c>
      <c r="AA32" s="25"/>
      <c r="AB32" s="104">
        <v>0</v>
      </c>
      <c r="AC32" s="25"/>
      <c r="AD32" s="118">
        <v>0</v>
      </c>
      <c r="AE32" s="25"/>
      <c r="AF32" s="104">
        <v>0</v>
      </c>
      <c r="AG32" s="25"/>
      <c r="AH32" s="35">
        <v>0</v>
      </c>
      <c r="AI32" s="25"/>
      <c r="AJ32" s="35">
        <v>0</v>
      </c>
      <c r="AK32" s="25"/>
      <c r="AL32" s="35">
        <v>0</v>
      </c>
      <c r="AM32" s="25"/>
      <c r="AN32" s="35">
        <v>0</v>
      </c>
      <c r="AO32" s="2"/>
      <c r="AP32" s="35"/>
      <c r="AQ32" s="28"/>
      <c r="AR32" s="22"/>
    </row>
    <row r="33" spans="1:44" ht="16.5" thickBot="1" x14ac:dyDescent="0.3">
      <c r="F33" s="58"/>
      <c r="G33" s="88"/>
      <c r="H33" s="59"/>
      <c r="I33" s="89"/>
      <c r="S33" s="2" t="s">
        <v>134</v>
      </c>
      <c r="T33" s="121">
        <v>-300</v>
      </c>
      <c r="U33" s="25"/>
      <c r="V33" s="105">
        <v>-295</v>
      </c>
      <c r="W33" s="25"/>
      <c r="X33" s="105">
        <v>-112</v>
      </c>
      <c r="Y33" s="25"/>
      <c r="Z33" s="121">
        <v>-100</v>
      </c>
      <c r="AA33" s="25"/>
      <c r="AB33" s="105">
        <v>-77</v>
      </c>
      <c r="AC33" s="25"/>
      <c r="AD33" s="122">
        <v>-100</v>
      </c>
      <c r="AE33" s="25"/>
      <c r="AF33" s="105">
        <v>-74</v>
      </c>
      <c r="AG33" s="25"/>
      <c r="AH33" s="42">
        <v>-72</v>
      </c>
      <c r="AI33" s="25"/>
      <c r="AJ33" s="42">
        <v>-35</v>
      </c>
      <c r="AK33" s="25"/>
      <c r="AL33" s="42">
        <v>-36</v>
      </c>
      <c r="AM33" s="25"/>
      <c r="AN33" s="42">
        <v>-33</v>
      </c>
      <c r="AO33" s="2"/>
      <c r="AP33" s="10"/>
      <c r="AQ33" s="10"/>
      <c r="AR33" s="13"/>
    </row>
    <row r="34" spans="1:44" ht="17.25" thickTop="1" thickBot="1" x14ac:dyDescent="0.3">
      <c r="F34" s="58"/>
      <c r="G34" s="88"/>
      <c r="H34" s="59"/>
      <c r="I34" s="89"/>
      <c r="S34" s="16" t="s">
        <v>47</v>
      </c>
      <c r="T34" s="126">
        <f>SUM(T32:T33)</f>
        <v>200</v>
      </c>
      <c r="U34" s="23"/>
      <c r="V34" s="123">
        <f>SUM(V32:V33)</f>
        <v>-147</v>
      </c>
      <c r="W34" s="23"/>
      <c r="X34" s="123">
        <f>SUM(X32:X33)</f>
        <v>-112</v>
      </c>
      <c r="Y34" s="23"/>
      <c r="Z34" s="126">
        <f>SUM(Z32:Z33)</f>
        <v>-100</v>
      </c>
      <c r="AA34" s="23"/>
      <c r="AB34" s="123">
        <f>SUM(AB32:AB33)</f>
        <v>-77</v>
      </c>
      <c r="AC34" s="23"/>
      <c r="AD34" s="10">
        <f>SUM(AD32:AD33)</f>
        <v>-100</v>
      </c>
      <c r="AE34" s="23"/>
      <c r="AF34" s="123">
        <f>SUM(AF32:AF33)</f>
        <v>-74</v>
      </c>
      <c r="AG34" s="23"/>
      <c r="AH34" s="33">
        <f>SUM(AH32:AH33)</f>
        <v>-72</v>
      </c>
      <c r="AI34" s="23"/>
      <c r="AJ34" s="33">
        <f>SUM(AJ32:AJ33)</f>
        <v>-35</v>
      </c>
      <c r="AK34" s="23"/>
      <c r="AL34" s="33">
        <f>SUM(AL32:AL33)</f>
        <v>-36</v>
      </c>
      <c r="AM34" s="23"/>
      <c r="AN34" s="33">
        <f>SUM(AN32:AN33)</f>
        <v>-33</v>
      </c>
      <c r="AO34" s="16"/>
      <c r="AP34" s="42">
        <v>1269</v>
      </c>
      <c r="AQ34" s="27"/>
      <c r="AR34" s="42">
        <v>2638</v>
      </c>
    </row>
    <row r="35" spans="1:44" ht="16.5" thickTop="1" x14ac:dyDescent="0.25">
      <c r="F35" s="58"/>
      <c r="G35" s="88"/>
      <c r="H35" s="59"/>
      <c r="I35" s="89"/>
      <c r="S35" s="23"/>
      <c r="T35" s="120"/>
      <c r="U35" s="23"/>
      <c r="V35" s="124"/>
      <c r="W35" s="23"/>
      <c r="X35" s="124"/>
      <c r="Y35" s="23"/>
      <c r="Z35" s="158"/>
      <c r="AA35" s="23"/>
      <c r="AB35" s="124"/>
      <c r="AC35" s="23"/>
      <c r="AD35" s="158"/>
      <c r="AE35" s="23"/>
      <c r="AF35" s="124"/>
      <c r="AG35" s="23"/>
      <c r="AH35" s="36"/>
      <c r="AI35" s="23"/>
      <c r="AJ35" s="36"/>
      <c r="AK35" s="23"/>
      <c r="AL35" s="36"/>
      <c r="AM35" s="23"/>
      <c r="AN35" s="36"/>
      <c r="AO35" s="16"/>
      <c r="AP35" s="35"/>
      <c r="AQ35" s="27"/>
      <c r="AR35" s="35"/>
    </row>
    <row r="36" spans="1:44" ht="15.75" x14ac:dyDescent="0.25">
      <c r="F36" s="58"/>
      <c r="G36" s="88"/>
      <c r="H36" s="59"/>
      <c r="I36" s="89"/>
      <c r="S36" s="16" t="s">
        <v>213</v>
      </c>
      <c r="T36" s="126">
        <f>T27+T29+T34</f>
        <v>220</v>
      </c>
      <c r="U36" s="23"/>
      <c r="V36" s="126">
        <f>V27+V29+V34</f>
        <v>26001</v>
      </c>
      <c r="W36" s="23"/>
      <c r="X36" s="126">
        <f>X27+X29+X34</f>
        <v>24752</v>
      </c>
      <c r="Y36" s="23"/>
      <c r="Z36" s="126">
        <f>Z27+Z29+Z34</f>
        <v>7920</v>
      </c>
      <c r="AA36" s="23"/>
      <c r="AB36" s="126">
        <f>AB27+AB29+AB34</f>
        <v>-22977.5</v>
      </c>
      <c r="AC36" s="23"/>
      <c r="AD36" s="126">
        <f>AD27+AD29+AD34</f>
        <v>30220</v>
      </c>
      <c r="AE36" s="23"/>
      <c r="AF36" s="126">
        <f>AF27+AF29+AF34</f>
        <v>38200</v>
      </c>
      <c r="AG36" s="23"/>
      <c r="AH36" s="126">
        <f>AH27+AH29+AH34</f>
        <v>37736.5</v>
      </c>
      <c r="AI36" s="23"/>
      <c r="AJ36" s="126">
        <f>AJ27+AJ29+AJ34</f>
        <v>32959.37000000001</v>
      </c>
      <c r="AK36" s="23"/>
      <c r="AL36" s="126">
        <f>AL27+AL29+AL34</f>
        <v>-43539</v>
      </c>
      <c r="AM36" s="23"/>
      <c r="AN36" s="126">
        <f>AN27+AN29+AN34</f>
        <v>49802</v>
      </c>
      <c r="AO36" s="16"/>
      <c r="AP36" s="35"/>
      <c r="AQ36" s="27"/>
      <c r="AR36" s="35"/>
    </row>
    <row r="37" spans="1:44" ht="15.75" x14ac:dyDescent="0.25">
      <c r="F37" s="58"/>
      <c r="G37" s="88"/>
      <c r="H37" s="59"/>
      <c r="I37" s="89"/>
      <c r="S37" s="2"/>
      <c r="T37" s="158"/>
      <c r="U37" s="25"/>
      <c r="V37" s="104"/>
      <c r="W37" s="25"/>
      <c r="X37" s="104"/>
      <c r="Y37" s="25"/>
      <c r="Z37" s="158"/>
      <c r="AA37" s="25"/>
      <c r="AB37" s="104"/>
      <c r="AC37" s="25"/>
      <c r="AD37" s="118"/>
      <c r="AE37" s="25"/>
      <c r="AF37" s="131"/>
      <c r="AG37" s="25"/>
      <c r="AH37" s="35"/>
      <c r="AI37" s="25"/>
      <c r="AJ37" s="35"/>
      <c r="AK37" s="25"/>
      <c r="AL37" s="35"/>
      <c r="AM37" s="25"/>
      <c r="AN37" s="35"/>
      <c r="AO37" s="2"/>
      <c r="AP37" s="33">
        <f>+AP34</f>
        <v>1269</v>
      </c>
      <c r="AQ37" s="33"/>
      <c r="AR37" s="16">
        <f>+AR34</f>
        <v>2638</v>
      </c>
    </row>
    <row r="38" spans="1:44" ht="15.75" x14ac:dyDescent="0.25">
      <c r="F38" s="58"/>
      <c r="G38" s="88"/>
      <c r="H38" s="59"/>
      <c r="I38" s="89"/>
      <c r="S38" s="9" t="s">
        <v>49</v>
      </c>
      <c r="T38" s="130"/>
      <c r="U38" s="23"/>
      <c r="V38" s="126"/>
      <c r="W38" s="23"/>
      <c r="X38" s="126"/>
      <c r="Y38" s="23"/>
      <c r="Z38" s="130"/>
      <c r="AA38" s="23"/>
      <c r="AB38" s="126"/>
      <c r="AC38" s="23"/>
      <c r="AD38" s="10"/>
      <c r="AE38" s="23"/>
      <c r="AF38" s="130"/>
      <c r="AG38" s="23"/>
      <c r="AH38" s="10"/>
      <c r="AI38" s="23"/>
      <c r="AJ38" s="10"/>
      <c r="AK38" s="23"/>
      <c r="AL38" s="10"/>
      <c r="AM38" s="23"/>
      <c r="AN38" s="10"/>
      <c r="AO38" s="9"/>
      <c r="AP38" s="35"/>
      <c r="AQ38" s="27"/>
      <c r="AR38" s="4"/>
    </row>
    <row r="39" spans="1:44" ht="15.75" x14ac:dyDescent="0.25">
      <c r="A39" s="70">
        <v>11585</v>
      </c>
      <c r="B39" s="14">
        <v>11585</v>
      </c>
      <c r="C39" s="14">
        <v>11585</v>
      </c>
      <c r="F39" s="90" t="s">
        <v>93</v>
      </c>
      <c r="G39" s="90"/>
      <c r="H39" s="90">
        <v>20</v>
      </c>
      <c r="I39" s="92">
        <f>1/H39</f>
        <v>0.05</v>
      </c>
      <c r="S39" s="2" t="s">
        <v>53</v>
      </c>
      <c r="T39" s="120">
        <v>-60418</v>
      </c>
      <c r="U39" s="25"/>
      <c r="V39" s="104">
        <v>-60418</v>
      </c>
      <c r="W39" s="25"/>
      <c r="X39" s="104">
        <v>-60418</v>
      </c>
      <c r="Y39" s="25"/>
      <c r="Z39" s="120">
        <v>-60418</v>
      </c>
      <c r="AA39" s="25"/>
      <c r="AB39" s="104">
        <v>-60418</v>
      </c>
      <c r="AC39" s="25"/>
      <c r="AD39" s="118">
        <v>-60418</v>
      </c>
      <c r="AE39" s="25"/>
      <c r="AF39" s="104">
        <v>-60418</v>
      </c>
      <c r="AG39" s="25"/>
      <c r="AH39" s="35">
        <v>-60418</v>
      </c>
      <c r="AI39" s="25"/>
      <c r="AJ39" s="35">
        <v>-60418</v>
      </c>
      <c r="AK39" s="25"/>
      <c r="AL39" s="35">
        <v>-60418</v>
      </c>
      <c r="AM39" s="25"/>
      <c r="AN39" s="35">
        <v>-60418</v>
      </c>
      <c r="AO39" s="2"/>
      <c r="AP39" s="10"/>
      <c r="AQ39" s="10"/>
      <c r="AR39" s="13"/>
    </row>
    <row r="40" spans="1:44" ht="16.5" thickBot="1" x14ac:dyDescent="0.3">
      <c r="A40" s="70"/>
      <c r="B40" s="14"/>
      <c r="C40" s="14"/>
      <c r="F40" s="97"/>
      <c r="G40" s="98"/>
      <c r="H40" s="90"/>
      <c r="I40" s="92"/>
      <c r="S40" s="2" t="s">
        <v>183</v>
      </c>
      <c r="T40" s="121">
        <v>-14000</v>
      </c>
      <c r="U40" s="25"/>
      <c r="V40" s="105">
        <v>-13842.07</v>
      </c>
      <c r="W40" s="25"/>
      <c r="X40" s="105">
        <v>-13842.07</v>
      </c>
      <c r="Y40" s="25"/>
      <c r="Z40" s="121">
        <v>-14000</v>
      </c>
      <c r="AA40" s="25"/>
      <c r="AB40" s="105">
        <v>-13842.07</v>
      </c>
      <c r="AC40" s="25"/>
      <c r="AD40" s="122">
        <v>-10000</v>
      </c>
      <c r="AE40" s="25"/>
      <c r="AF40" s="105">
        <f>-4938</f>
        <v>-4938</v>
      </c>
      <c r="AG40" s="25"/>
      <c r="AH40" s="42"/>
      <c r="AI40" s="25"/>
      <c r="AJ40" s="42"/>
      <c r="AK40" s="25"/>
      <c r="AL40" s="42"/>
      <c r="AM40" s="25"/>
      <c r="AN40" s="42"/>
      <c r="AO40" s="2"/>
      <c r="AP40" s="10"/>
      <c r="AQ40" s="10"/>
      <c r="AR40" s="13"/>
    </row>
    <row r="41" spans="1:44" ht="17.25" thickTop="1" thickBot="1" x14ac:dyDescent="0.3">
      <c r="A41" s="70"/>
      <c r="B41" s="14"/>
      <c r="C41" s="14"/>
      <c r="F41" s="97"/>
      <c r="G41" s="98"/>
      <c r="H41" s="90"/>
      <c r="I41" s="92"/>
      <c r="S41" s="17" t="s">
        <v>55</v>
      </c>
      <c r="T41" s="126">
        <f>SUM(T39:T40)</f>
        <v>-74418</v>
      </c>
      <c r="U41" s="24"/>
      <c r="V41" s="123">
        <f>SUM(V39:V40)</f>
        <v>-74260.070000000007</v>
      </c>
      <c r="W41" s="24"/>
      <c r="X41" s="123">
        <f>SUM(X39:X40)</f>
        <v>-74260.070000000007</v>
      </c>
      <c r="Y41" s="24"/>
      <c r="Z41" s="126">
        <f>SUM(Z39:Z40)</f>
        <v>-74418</v>
      </c>
      <c r="AA41" s="24"/>
      <c r="AB41" s="123">
        <f>SUM(AB39:AB40)</f>
        <v>-74260.070000000007</v>
      </c>
      <c r="AC41" s="24"/>
      <c r="AD41" s="10">
        <f>SUM(AD39:AD40)</f>
        <v>-70418</v>
      </c>
      <c r="AE41" s="24"/>
      <c r="AF41" s="123">
        <f>SUM(AF39:AF40)</f>
        <v>-65356</v>
      </c>
      <c r="AG41" s="24"/>
      <c r="AH41" s="33">
        <f>+AH39</f>
        <v>-60418</v>
      </c>
      <c r="AI41" s="24"/>
      <c r="AJ41" s="33">
        <f>+AJ39</f>
        <v>-60418</v>
      </c>
      <c r="AK41" s="24"/>
      <c r="AL41" s="33">
        <f>+AL39</f>
        <v>-60418</v>
      </c>
      <c r="AM41" s="24"/>
      <c r="AN41" s="33">
        <f>+AN39</f>
        <v>-60418</v>
      </c>
      <c r="AO41" s="17"/>
      <c r="AP41" s="42">
        <v>-48168</v>
      </c>
      <c r="AQ41" s="27"/>
      <c r="AR41" s="42">
        <v>-45718</v>
      </c>
    </row>
    <row r="42" spans="1:44" ht="16.5" hidden="1" thickTop="1" x14ac:dyDescent="0.25">
      <c r="A42" s="70"/>
      <c r="B42" s="14"/>
      <c r="C42" s="14"/>
      <c r="F42" s="97"/>
      <c r="G42" s="98"/>
      <c r="H42" s="90"/>
      <c r="I42" s="92"/>
      <c r="S42" s="2"/>
      <c r="T42" s="120"/>
      <c r="U42" s="25"/>
      <c r="V42" s="104"/>
      <c r="W42" s="25"/>
      <c r="X42" s="104"/>
      <c r="Y42" s="25"/>
      <c r="Z42" s="120"/>
      <c r="AA42" s="25"/>
      <c r="AB42" s="104"/>
      <c r="AC42" s="25"/>
      <c r="AD42" s="118"/>
      <c r="AE42" s="25"/>
      <c r="AF42" s="104"/>
      <c r="AG42" s="25"/>
      <c r="AH42" s="35"/>
      <c r="AI42" s="25"/>
      <c r="AJ42" s="35"/>
      <c r="AK42" s="25"/>
      <c r="AL42" s="35"/>
      <c r="AM42" s="25"/>
      <c r="AN42" s="35"/>
      <c r="AO42" s="2"/>
      <c r="AP42" s="33">
        <f>+AP41</f>
        <v>-48168</v>
      </c>
      <c r="AQ42" s="34"/>
      <c r="AR42" s="16">
        <f>SUM(AR41:AR41)</f>
        <v>-45718</v>
      </c>
    </row>
    <row r="43" spans="1:44" ht="15.75" hidden="1" x14ac:dyDescent="0.25">
      <c r="A43" s="70">
        <v>6723</v>
      </c>
      <c r="B43" s="14">
        <f>1302+4874+4806</f>
        <v>10982</v>
      </c>
      <c r="C43" s="14">
        <f>13480-3073</f>
        <v>10407</v>
      </c>
      <c r="F43" s="97" t="s">
        <v>128</v>
      </c>
      <c r="G43" s="98"/>
      <c r="H43" s="99">
        <v>25</v>
      </c>
      <c r="I43" s="92">
        <v>0.04</v>
      </c>
      <c r="J43" t="s">
        <v>129</v>
      </c>
      <c r="S43" s="19" t="s">
        <v>57</v>
      </c>
      <c r="T43" s="173">
        <v>0</v>
      </c>
      <c r="U43" s="24"/>
      <c r="V43" s="127">
        <v>0</v>
      </c>
      <c r="W43" s="24"/>
      <c r="X43" s="127">
        <v>0</v>
      </c>
      <c r="Y43" s="24"/>
      <c r="Z43" s="173">
        <v>0</v>
      </c>
      <c r="AA43" s="24"/>
      <c r="AB43" s="127">
        <v>0</v>
      </c>
      <c r="AC43" s="24"/>
      <c r="AD43" s="119">
        <v>0</v>
      </c>
      <c r="AE43" s="24"/>
      <c r="AF43" s="127">
        <v>0</v>
      </c>
      <c r="AG43" s="24"/>
      <c r="AH43" s="32">
        <v>0</v>
      </c>
      <c r="AI43" s="24"/>
      <c r="AJ43" s="32">
        <v>0</v>
      </c>
      <c r="AK43" s="24"/>
      <c r="AL43" s="32">
        <v>0</v>
      </c>
      <c r="AM43" s="24"/>
      <c r="AN43" s="32">
        <v>0</v>
      </c>
      <c r="AO43" s="19"/>
      <c r="AP43" s="35"/>
      <c r="AQ43" s="27"/>
      <c r="AR43" s="4"/>
    </row>
    <row r="44" spans="1:44" ht="16.5" thickTop="1" x14ac:dyDescent="0.25">
      <c r="A44" s="70"/>
      <c r="B44" s="14"/>
      <c r="C44" s="14"/>
      <c r="F44" s="97"/>
      <c r="G44" s="98"/>
      <c r="H44" s="99"/>
      <c r="I44" s="92"/>
      <c r="S44" s="2"/>
      <c r="T44" s="158"/>
      <c r="U44" s="25"/>
      <c r="V44" s="104"/>
      <c r="W44" s="25"/>
      <c r="X44" s="104"/>
      <c r="Y44" s="25"/>
      <c r="Z44" s="158"/>
      <c r="AA44" s="25"/>
      <c r="AB44" s="104"/>
      <c r="AC44" s="25"/>
      <c r="AD44" s="118"/>
      <c r="AE44" s="25"/>
      <c r="AF44" s="104"/>
      <c r="AG44" s="25"/>
      <c r="AH44" s="35"/>
      <c r="AI44" s="25"/>
      <c r="AJ44" s="35"/>
      <c r="AK44" s="25"/>
      <c r="AL44" s="35"/>
      <c r="AM44" s="25"/>
      <c r="AN44" s="35"/>
      <c r="AO44" s="2"/>
      <c r="AP44" s="32">
        <v>0</v>
      </c>
      <c r="AQ44" s="27"/>
      <c r="AR44" s="32">
        <v>0</v>
      </c>
    </row>
    <row r="45" spans="1:44" ht="18.75" x14ac:dyDescent="0.3">
      <c r="A45" s="70">
        <v>3206</v>
      </c>
      <c r="B45" s="14">
        <v>3138</v>
      </c>
      <c r="C45" s="14">
        <v>3073</v>
      </c>
      <c r="F45" s="90" t="s">
        <v>96</v>
      </c>
      <c r="G45" s="90"/>
      <c r="H45" s="90">
        <v>50</v>
      </c>
      <c r="I45" s="92">
        <f>1/H45</f>
        <v>0.02</v>
      </c>
      <c r="S45" s="20" t="s">
        <v>46</v>
      </c>
      <c r="T45" s="172">
        <f>+T43+T41+T34+T29+T25+T9</f>
        <v>-74198</v>
      </c>
      <c r="U45" s="176"/>
      <c r="V45" s="128">
        <f>+V43+V41+V34+V29+V25+V9</f>
        <v>-48259.070000000007</v>
      </c>
      <c r="W45" s="176"/>
      <c r="X45" s="128">
        <f>+X43+X41+X34+X29+X25+X9</f>
        <v>-49508.070000000007</v>
      </c>
      <c r="Y45" s="176"/>
      <c r="Z45" s="172">
        <f>+Z43+Z41+Z34+Z29+Z25+Z9</f>
        <v>-66498</v>
      </c>
      <c r="AA45" s="176"/>
      <c r="AB45" s="128">
        <f>+AB43+AB41+AB34+AB29+AB25+AB9</f>
        <v>-97237.57</v>
      </c>
      <c r="AC45" s="176"/>
      <c r="AD45" s="9">
        <f>+AD43+AD41+AD34+AD29+AD25+AD9</f>
        <v>-40198</v>
      </c>
      <c r="AE45" s="176"/>
      <c r="AF45" s="128">
        <f>+AF43+AF41+AF34+AF29+AF25+AF9</f>
        <v>-27156</v>
      </c>
      <c r="AG45" s="176"/>
      <c r="AH45" s="16">
        <f>+AH43+AH41+AH34+AH29+AH25+AH9</f>
        <v>-22681.5</v>
      </c>
      <c r="AI45" s="176"/>
      <c r="AJ45" s="16">
        <f>+AJ43+AJ41+AJ34+AJ29+AJ25+AJ9</f>
        <v>-27458.630000000005</v>
      </c>
      <c r="AK45" s="176"/>
      <c r="AL45" s="16">
        <f>+AL43+AL41+AL34+AL29+AL25+AL9</f>
        <v>-103957</v>
      </c>
      <c r="AM45" s="176"/>
      <c r="AN45" s="16">
        <f>+AN43+AN41+AN34+AN29+AN25+AN9</f>
        <v>-10616</v>
      </c>
      <c r="AO45" s="20"/>
      <c r="AP45" s="35"/>
      <c r="AQ45" s="27"/>
      <c r="AR45" s="4"/>
    </row>
    <row r="46" spans="1:44" ht="15.75" x14ac:dyDescent="0.25">
      <c r="A46" s="64"/>
      <c r="B46" s="14">
        <v>1125</v>
      </c>
      <c r="C46" s="14"/>
      <c r="F46" s="90" t="s">
        <v>96</v>
      </c>
      <c r="G46" s="90"/>
      <c r="H46" s="90">
        <v>100</v>
      </c>
      <c r="I46" s="92">
        <f>1/H46</f>
        <v>0.01</v>
      </c>
      <c r="S46" s="2"/>
      <c r="T46" s="156"/>
      <c r="U46" s="2"/>
      <c r="V46" s="131"/>
      <c r="W46" s="2"/>
      <c r="X46" s="131"/>
      <c r="Y46" s="2"/>
      <c r="Z46" s="156"/>
      <c r="AA46" s="2"/>
      <c r="AB46" s="131"/>
      <c r="AC46" s="2"/>
      <c r="AD46" s="2"/>
      <c r="AE46" s="2"/>
      <c r="AF46" s="35"/>
      <c r="AG46" s="2"/>
      <c r="AH46" s="35"/>
      <c r="AI46" s="2"/>
      <c r="AJ46" s="35"/>
      <c r="AK46" s="2"/>
      <c r="AL46" s="35"/>
      <c r="AP46" s="16">
        <f>+AP44+AP42+AP34+AP31+AP29+AP9</f>
        <v>-13668</v>
      </c>
      <c r="AQ46" s="16"/>
      <c r="AR46" s="16">
        <f>+AR44+AR42+AR34+AR31+AR29+AR9</f>
        <v>30987</v>
      </c>
    </row>
    <row r="47" spans="1:44" x14ac:dyDescent="0.25">
      <c r="A47" s="64"/>
      <c r="B47" s="14">
        <v>3200</v>
      </c>
      <c r="C47" s="14"/>
      <c r="F47" s="90" t="s">
        <v>96</v>
      </c>
      <c r="G47" s="90"/>
      <c r="H47" s="90">
        <v>200</v>
      </c>
      <c r="I47" s="92">
        <f>1/H47</f>
        <v>5.0000000000000001E-3</v>
      </c>
    </row>
    <row r="48" spans="1:44" ht="15.75" thickBot="1" x14ac:dyDescent="0.3">
      <c r="A48" s="101">
        <f>SUM(A39:A47)</f>
        <v>21514</v>
      </c>
      <c r="B48" s="101">
        <f>SUM(B39:B47)</f>
        <v>30030</v>
      </c>
      <c r="C48" s="101">
        <f>SUM(C39:C47)</f>
        <v>25065</v>
      </c>
      <c r="I48" s="100"/>
    </row>
    <row r="49" spans="1:3" ht="15.75" thickTop="1" x14ac:dyDescent="0.25"/>
    <row r="51" spans="1:3" x14ac:dyDescent="0.25">
      <c r="B51" s="87"/>
      <c r="C51" s="87"/>
    </row>
    <row r="52" spans="1:3" x14ac:dyDescent="0.25">
      <c r="A52" s="14">
        <v>10080000</v>
      </c>
      <c r="B52" s="14">
        <v>10080000</v>
      </c>
      <c r="C52" s="14">
        <v>10080000</v>
      </c>
    </row>
  </sheetData>
  <mergeCells count="2">
    <mergeCell ref="A3:C3"/>
    <mergeCell ref="K4:K5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4"/>
  <sheetViews>
    <sheetView zoomScaleNormal="100" workbookViewId="0">
      <selection activeCell="D7" sqref="D7:E40"/>
    </sheetView>
  </sheetViews>
  <sheetFormatPr defaultColWidth="9.140625" defaultRowHeight="15.75" x14ac:dyDescent="0.25"/>
  <cols>
    <col min="1" max="1" width="42.28515625" style="2" customWidth="1"/>
    <col min="2" max="2" width="8.85546875" style="2" customWidth="1"/>
    <col min="3" max="3" width="16" style="35" customWidth="1"/>
    <col min="4" max="4" width="6" style="2" customWidth="1"/>
    <col min="5" max="5" width="16" style="35" customWidth="1"/>
    <col min="6" max="6" width="8.28515625" style="27" hidden="1" customWidth="1"/>
    <col min="7" max="7" width="15" style="2" hidden="1" customWidth="1"/>
    <col min="8" max="8" width="1.5703125" style="2" customWidth="1"/>
    <col min="9" max="9" width="3.28515625" style="2" customWidth="1"/>
    <col min="10" max="10" width="40.7109375" style="2" customWidth="1"/>
    <col min="11" max="11" width="12.28515625" style="2" customWidth="1"/>
    <col min="12" max="12" width="15.85546875" style="4" customWidth="1"/>
    <col min="13" max="13" width="12.28515625" style="2" customWidth="1"/>
    <col min="14" max="14" width="15.85546875" style="4" customWidth="1"/>
    <col min="15" max="15" width="13.28515625" style="4" hidden="1" customWidth="1"/>
    <col min="16" max="16" width="15.85546875" style="2" hidden="1" customWidth="1"/>
    <col min="17" max="17" width="2" style="2" customWidth="1"/>
    <col min="18" max="18" width="8.85546875" style="2" bestFit="1" customWidth="1"/>
    <col min="19" max="20" width="9.140625" style="2"/>
    <col min="21" max="21" width="13.85546875" style="2" customWidth="1"/>
    <col min="22" max="16384" width="9.140625" style="2"/>
  </cols>
  <sheetData>
    <row r="1" spans="1:27" ht="21" x14ac:dyDescent="0.35">
      <c r="A1" s="1" t="s">
        <v>0</v>
      </c>
      <c r="B1" s="1"/>
      <c r="C1" s="32"/>
      <c r="D1" s="1"/>
      <c r="E1" s="32"/>
      <c r="J1" s="1" t="s">
        <v>1</v>
      </c>
      <c r="K1" s="1"/>
      <c r="L1" s="18"/>
      <c r="M1" s="1"/>
      <c r="N1" s="18"/>
      <c r="O1" s="18"/>
    </row>
    <row r="2" spans="1:27" ht="18.75" x14ac:dyDescent="0.3">
      <c r="A2" s="3" t="s">
        <v>2</v>
      </c>
      <c r="B2" s="3"/>
      <c r="D2" s="3"/>
      <c r="J2" s="3" t="s">
        <v>2</v>
      </c>
      <c r="K2" s="3"/>
      <c r="M2" s="3"/>
    </row>
    <row r="3" spans="1:27" x14ac:dyDescent="0.25">
      <c r="A3" s="4" t="s">
        <v>3</v>
      </c>
      <c r="B3" s="4"/>
      <c r="D3" s="4"/>
      <c r="J3" s="4" t="s">
        <v>3</v>
      </c>
      <c r="K3" s="4"/>
      <c r="M3" s="4"/>
    </row>
    <row r="4" spans="1:27" x14ac:dyDescent="0.25">
      <c r="A4" s="4" t="s">
        <v>142</v>
      </c>
      <c r="B4" s="4"/>
      <c r="D4" s="4"/>
      <c r="J4" s="5" t="s">
        <v>143</v>
      </c>
      <c r="K4" s="5"/>
      <c r="L4" s="5"/>
      <c r="M4" s="5"/>
      <c r="N4" s="5"/>
      <c r="O4" s="5"/>
    </row>
    <row r="5" spans="1:27" x14ac:dyDescent="0.25">
      <c r="J5" s="6"/>
      <c r="K5" s="6"/>
      <c r="L5" s="6"/>
      <c r="M5" s="6"/>
      <c r="N5" s="6"/>
      <c r="O5" s="6"/>
    </row>
    <row r="6" spans="1:27" ht="18.75" x14ac:dyDescent="0.3">
      <c r="A6" s="7" t="s">
        <v>6</v>
      </c>
      <c r="B6" s="7"/>
      <c r="C6" s="32"/>
      <c r="D6" s="7"/>
      <c r="E6" s="32"/>
      <c r="J6" s="7" t="s">
        <v>7</v>
      </c>
      <c r="K6" s="7"/>
      <c r="L6" s="18"/>
      <c r="M6" s="7"/>
      <c r="N6" s="18"/>
      <c r="O6" s="18"/>
      <c r="Q6" s="8"/>
    </row>
    <row r="7" spans="1:27" ht="18.75" x14ac:dyDescent="0.3">
      <c r="A7" s="9" t="s">
        <v>8</v>
      </c>
      <c r="B7" s="9"/>
      <c r="C7" s="10" t="s">
        <v>141</v>
      </c>
      <c r="D7" s="9"/>
      <c r="E7" s="10" t="s">
        <v>133</v>
      </c>
      <c r="F7" s="10"/>
      <c r="G7" s="10" t="s">
        <v>119</v>
      </c>
      <c r="H7" s="32"/>
      <c r="J7" s="11" t="s">
        <v>10</v>
      </c>
      <c r="K7" s="11"/>
      <c r="L7" s="102" t="s">
        <v>144</v>
      </c>
      <c r="M7" s="11"/>
      <c r="N7" s="102" t="s">
        <v>145</v>
      </c>
      <c r="O7" s="26"/>
      <c r="P7" s="26" t="s">
        <v>120</v>
      </c>
      <c r="Q7" s="13"/>
      <c r="R7" s="14"/>
    </row>
    <row r="8" spans="1:27" s="14" customFormat="1" x14ac:dyDescent="0.25">
      <c r="A8" s="2" t="s">
        <v>11</v>
      </c>
      <c r="B8" s="2"/>
      <c r="C8" s="35">
        <v>139020</v>
      </c>
      <c r="D8" s="2"/>
      <c r="E8" s="35">
        <v>139020</v>
      </c>
      <c r="F8" s="28"/>
      <c r="G8" s="35">
        <v>139020</v>
      </c>
      <c r="H8" s="4"/>
      <c r="I8" s="2"/>
      <c r="J8" s="2" t="s">
        <v>12</v>
      </c>
      <c r="K8" s="2" t="s">
        <v>66</v>
      </c>
      <c r="L8" s="4">
        <f>8964890-522611</f>
        <v>8442279</v>
      </c>
      <c r="M8" s="2"/>
      <c r="N8" s="4">
        <f>8964890-462193</f>
        <v>8502697</v>
      </c>
      <c r="O8" s="4"/>
      <c r="P8" s="4">
        <v>8563115</v>
      </c>
      <c r="Q8" s="4"/>
      <c r="R8" s="2"/>
    </row>
    <row r="9" spans="1:27" s="14" customFormat="1" ht="16.5" thickBot="1" x14ac:dyDescent="0.3">
      <c r="A9" s="16" t="s">
        <v>15</v>
      </c>
      <c r="B9" s="16"/>
      <c r="C9" s="33">
        <v>139020</v>
      </c>
      <c r="D9" s="16"/>
      <c r="E9" s="33">
        <v>139020</v>
      </c>
      <c r="F9" s="29"/>
      <c r="G9" s="16">
        <v>139020</v>
      </c>
      <c r="H9" s="4"/>
      <c r="I9" s="2"/>
      <c r="J9" s="2" t="s">
        <v>14</v>
      </c>
      <c r="K9" s="2" t="s">
        <v>88</v>
      </c>
      <c r="L9" s="15">
        <v>1542051</v>
      </c>
      <c r="M9" s="2"/>
      <c r="N9" s="15">
        <v>1542051</v>
      </c>
      <c r="O9" s="15"/>
      <c r="P9" s="15">
        <v>1542051</v>
      </c>
      <c r="Q9" s="15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6.5" thickTop="1" x14ac:dyDescent="0.25">
      <c r="A10" s="23"/>
      <c r="B10" s="23"/>
      <c r="C10" s="36"/>
      <c r="D10" s="23"/>
      <c r="E10" s="36"/>
      <c r="F10" s="30"/>
      <c r="G10" s="23"/>
      <c r="H10" s="18"/>
      <c r="J10" s="17" t="s">
        <v>16</v>
      </c>
      <c r="K10" s="17"/>
      <c r="L10" s="16">
        <f>L8+L9</f>
        <v>9984330</v>
      </c>
      <c r="M10" s="17"/>
      <c r="N10" s="16">
        <f>N8+N9</f>
        <v>10044748</v>
      </c>
      <c r="O10" s="16"/>
      <c r="P10" s="16">
        <v>10105166</v>
      </c>
      <c r="Q10" s="16"/>
    </row>
    <row r="11" spans="1:27" s="25" customFormat="1" x14ac:dyDescent="0.25">
      <c r="A11" s="18"/>
      <c r="B11" s="18"/>
      <c r="C11" s="32"/>
      <c r="D11" s="18"/>
      <c r="E11" s="32"/>
      <c r="F11" s="31"/>
      <c r="G11" s="18"/>
      <c r="H11" s="18"/>
      <c r="J11" s="24"/>
      <c r="K11" s="24"/>
      <c r="L11" s="23"/>
      <c r="M11" s="24"/>
      <c r="N11" s="23"/>
      <c r="O11" s="23"/>
      <c r="P11" s="23"/>
      <c r="Q11" s="23"/>
    </row>
    <row r="12" spans="1:27" ht="18.75" x14ac:dyDescent="0.3">
      <c r="A12" s="7" t="s">
        <v>17</v>
      </c>
      <c r="B12" s="7"/>
      <c r="C12" s="32"/>
      <c r="D12" s="7"/>
      <c r="E12" s="32"/>
      <c r="G12" s="4"/>
      <c r="H12" s="18"/>
      <c r="J12" s="11" t="s">
        <v>19</v>
      </c>
      <c r="K12" s="11"/>
      <c r="L12" s="9"/>
      <c r="M12" s="11"/>
      <c r="N12" s="9"/>
      <c r="O12" s="9"/>
      <c r="P12" s="13"/>
      <c r="Q12" s="13"/>
    </row>
    <row r="13" spans="1:27" s="14" customFormat="1" x14ac:dyDescent="0.25">
      <c r="A13" s="9" t="s">
        <v>18</v>
      </c>
      <c r="B13" s="9"/>
      <c r="C13" s="10"/>
      <c r="D13" s="9"/>
      <c r="E13" s="10"/>
      <c r="F13" s="10"/>
      <c r="G13" s="13"/>
      <c r="H13" s="4"/>
      <c r="I13" s="2"/>
      <c r="J13" s="2" t="s">
        <v>21</v>
      </c>
      <c r="K13" s="2"/>
      <c r="L13" s="4">
        <v>30802</v>
      </c>
      <c r="M13" s="2"/>
      <c r="N13" s="4">
        <v>82857</v>
      </c>
      <c r="O13" s="4"/>
      <c r="P13" s="4">
        <v>28090</v>
      </c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s="14" customFormat="1" x14ac:dyDescent="0.25">
      <c r="A14" s="2" t="s">
        <v>24</v>
      </c>
      <c r="B14" s="2"/>
      <c r="C14" s="35">
        <f>-55525-19208-3662-600</f>
        <v>-78995</v>
      </c>
      <c r="D14" s="2"/>
      <c r="E14" s="35">
        <v>-3106</v>
      </c>
      <c r="F14" s="28"/>
      <c r="G14" s="35">
        <v>-26444</v>
      </c>
      <c r="H14" s="4"/>
      <c r="I14" s="2"/>
      <c r="J14" s="2" t="s">
        <v>23</v>
      </c>
      <c r="K14" s="2"/>
      <c r="L14" s="4">
        <v>0</v>
      </c>
      <c r="M14" s="2"/>
      <c r="N14" s="4">
        <v>0</v>
      </c>
      <c r="O14" s="4"/>
      <c r="P14" s="4">
        <v>0</v>
      </c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s="14" customFormat="1" x14ac:dyDescent="0.25">
      <c r="A15" s="2" t="s">
        <v>26</v>
      </c>
      <c r="B15" s="2"/>
      <c r="C15" s="35">
        <v>-9750</v>
      </c>
      <c r="D15" s="2"/>
      <c r="E15" s="35">
        <v>-9182</v>
      </c>
      <c r="F15" s="28"/>
      <c r="G15" s="35">
        <v>-10002</v>
      </c>
      <c r="H15" s="4"/>
      <c r="I15" s="2"/>
      <c r="J15" s="17" t="s">
        <v>25</v>
      </c>
      <c r="K15" s="17"/>
      <c r="L15" s="16">
        <f>L13+L14</f>
        <v>30802</v>
      </c>
      <c r="M15" s="17"/>
      <c r="N15" s="16">
        <f>N13+N14</f>
        <v>82857</v>
      </c>
      <c r="O15" s="16"/>
      <c r="P15" s="16">
        <v>28090</v>
      </c>
      <c r="Q15" s="16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s="14" customFormat="1" x14ac:dyDescent="0.25">
      <c r="A16" s="2" t="s">
        <v>27</v>
      </c>
      <c r="B16" s="2"/>
      <c r="C16" s="35">
        <v>-6979</v>
      </c>
      <c r="D16" s="2"/>
      <c r="E16" s="35">
        <v>-11899</v>
      </c>
      <c r="F16" s="28"/>
      <c r="G16" s="35">
        <v>-7102</v>
      </c>
      <c r="H16" s="4"/>
      <c r="I16" s="2"/>
      <c r="J16" s="19"/>
      <c r="K16" s="19"/>
      <c r="L16" s="18"/>
      <c r="M16" s="19"/>
      <c r="N16" s="18"/>
      <c r="O16" s="18"/>
      <c r="P16" s="18"/>
      <c r="Q16" s="18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30" s="14" customFormat="1" ht="18.75" x14ac:dyDescent="0.3">
      <c r="A17" s="2" t="s">
        <v>29</v>
      </c>
      <c r="B17" s="2"/>
      <c r="C17" s="35">
        <v>-41525</v>
      </c>
      <c r="D17" s="2"/>
      <c r="E17" s="35">
        <v>-36224</v>
      </c>
      <c r="F17" s="28"/>
      <c r="G17" s="35">
        <v>-38929</v>
      </c>
      <c r="H17" s="4"/>
      <c r="I17" s="2"/>
      <c r="J17" s="20" t="s">
        <v>28</v>
      </c>
      <c r="K17" s="20"/>
      <c r="L17" s="16">
        <f>+L10+L15</f>
        <v>10015132</v>
      </c>
      <c r="M17" s="20"/>
      <c r="N17" s="16">
        <f>+N10+N15</f>
        <v>10127605</v>
      </c>
      <c r="O17" s="16"/>
      <c r="P17" s="16">
        <v>10133256</v>
      </c>
      <c r="Q17" s="16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30" s="14" customFormat="1" ht="18.75" x14ac:dyDescent="0.3">
      <c r="A18" s="2" t="s">
        <v>30</v>
      </c>
      <c r="B18" s="2"/>
      <c r="C18" s="35">
        <v>-8322</v>
      </c>
      <c r="D18" s="2"/>
      <c r="E18" s="35">
        <v>-8399</v>
      </c>
      <c r="F18" s="28"/>
      <c r="G18" s="35">
        <v>-8540</v>
      </c>
      <c r="H18" s="4"/>
      <c r="I18" s="2"/>
      <c r="J18" s="7"/>
      <c r="K18" s="7"/>
      <c r="L18" s="18"/>
      <c r="M18" s="7"/>
      <c r="N18" s="18"/>
      <c r="O18" s="18"/>
      <c r="P18" s="18"/>
      <c r="Q18" s="18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30" s="14" customFormat="1" x14ac:dyDescent="0.25">
      <c r="A19" s="2" t="s">
        <v>31</v>
      </c>
      <c r="B19" s="2"/>
      <c r="C19" s="35">
        <v>-6137</v>
      </c>
      <c r="D19" s="2"/>
      <c r="E19" s="35">
        <v>-5683</v>
      </c>
      <c r="F19" s="28"/>
      <c r="G19" s="35">
        <v>-5427</v>
      </c>
      <c r="H19" s="4"/>
      <c r="I19" s="2"/>
      <c r="L19" s="4"/>
      <c r="N19" s="4"/>
      <c r="O19" s="4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30" s="14" customFormat="1" x14ac:dyDescent="0.25">
      <c r="A20" s="2" t="s">
        <v>32</v>
      </c>
      <c r="B20" s="2"/>
      <c r="C20" s="35">
        <v>-5307</v>
      </c>
      <c r="D20" s="2"/>
      <c r="E20" s="35">
        <v>-2023</v>
      </c>
      <c r="F20" s="28"/>
      <c r="G20" s="35">
        <v>-131</v>
      </c>
      <c r="H20" s="4"/>
      <c r="I20" s="2"/>
      <c r="L20" s="4"/>
      <c r="N20" s="4"/>
      <c r="O20" s="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30" s="14" customFormat="1" x14ac:dyDescent="0.25">
      <c r="A21" s="2" t="s">
        <v>33</v>
      </c>
      <c r="B21" s="2"/>
      <c r="C21" s="35">
        <v>-11785</v>
      </c>
      <c r="D21" s="2"/>
      <c r="E21" s="35">
        <f>-1097-648</f>
        <v>-1745</v>
      </c>
      <c r="F21" s="28"/>
      <c r="G21" s="35">
        <v>-1757</v>
      </c>
      <c r="H21" s="4"/>
      <c r="I21" s="2"/>
      <c r="L21" s="4"/>
      <c r="N21" s="4"/>
      <c r="O21" s="4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0" s="14" customFormat="1" ht="18.75" x14ac:dyDescent="0.3">
      <c r="A22" s="2" t="s">
        <v>35</v>
      </c>
      <c r="B22" s="2"/>
      <c r="C22" s="35">
        <v>-6553</v>
      </c>
      <c r="D22" s="2"/>
      <c r="E22" s="35">
        <v>-1453</v>
      </c>
      <c r="F22" s="28"/>
      <c r="G22" s="35">
        <v>0</v>
      </c>
      <c r="H22" s="4"/>
      <c r="I22" s="2"/>
      <c r="J22" s="7" t="s">
        <v>34</v>
      </c>
      <c r="K22" s="7"/>
      <c r="L22" s="18"/>
      <c r="M22" s="7"/>
      <c r="N22" s="18"/>
      <c r="O22" s="18"/>
      <c r="P22" s="4"/>
      <c r="Q22" s="4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30" s="14" customFormat="1" x14ac:dyDescent="0.25">
      <c r="A23" s="2" t="s">
        <v>37</v>
      </c>
      <c r="B23" s="2"/>
      <c r="C23" s="35">
        <v>-2858</v>
      </c>
      <c r="D23" s="2"/>
      <c r="E23" s="35">
        <f>-3200-2252</f>
        <v>-5452</v>
      </c>
      <c r="F23" s="28"/>
      <c r="G23" s="35">
        <v>-3252</v>
      </c>
      <c r="H23" s="4"/>
      <c r="I23" s="2"/>
      <c r="J23" s="11" t="s">
        <v>36</v>
      </c>
      <c r="K23" s="11"/>
      <c r="L23" s="9"/>
      <c r="M23" s="11"/>
      <c r="N23" s="9"/>
      <c r="O23" s="9"/>
      <c r="P23" s="9"/>
      <c r="Q23" s="1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30" s="14" customFormat="1" ht="16.5" thickBot="1" x14ac:dyDescent="0.3">
      <c r="A24" s="2" t="s">
        <v>39</v>
      </c>
      <c r="B24" s="2"/>
      <c r="C24" s="42">
        <v>-1142</v>
      </c>
      <c r="D24" s="2"/>
      <c r="E24" s="42">
        <v>-914</v>
      </c>
      <c r="F24" s="28"/>
      <c r="G24" s="42">
        <v>-1165</v>
      </c>
      <c r="H24" s="4"/>
      <c r="I24" s="2"/>
      <c r="J24" s="2" t="s">
        <v>38</v>
      </c>
      <c r="K24" s="2" t="s">
        <v>100</v>
      </c>
      <c r="L24" s="15">
        <v>10080000</v>
      </c>
      <c r="M24" s="2"/>
      <c r="N24" s="15">
        <v>10080000</v>
      </c>
      <c r="O24" s="15"/>
      <c r="P24" s="15">
        <v>10080000</v>
      </c>
      <c r="Q24" s="4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30" s="14" customFormat="1" ht="16.5" thickTop="1" x14ac:dyDescent="0.25">
      <c r="A25" s="16" t="s">
        <v>41</v>
      </c>
      <c r="B25" s="16"/>
      <c r="C25" s="33">
        <f>SUM(C14:C24)</f>
        <v>-179353</v>
      </c>
      <c r="D25" s="16"/>
      <c r="E25" s="33">
        <f>SUM(E14:E24)</f>
        <v>-86080</v>
      </c>
      <c r="F25" s="33"/>
      <c r="G25" s="16">
        <v>-102749</v>
      </c>
      <c r="H25" s="4"/>
      <c r="I25" s="2"/>
      <c r="J25" s="17" t="s">
        <v>40</v>
      </c>
      <c r="K25" s="17"/>
      <c r="L25" s="16">
        <v>10080000</v>
      </c>
      <c r="M25" s="17"/>
      <c r="N25" s="16">
        <v>10080000</v>
      </c>
      <c r="O25" s="16"/>
      <c r="P25" s="16">
        <v>10080000</v>
      </c>
      <c r="Q25" s="16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0" s="14" customFormat="1" x14ac:dyDescent="0.25">
      <c r="A26" s="23"/>
      <c r="B26" s="23"/>
      <c r="C26" s="36"/>
      <c r="D26" s="23"/>
      <c r="E26" s="36"/>
      <c r="F26" s="36"/>
      <c r="G26" s="23"/>
      <c r="H26" s="4"/>
      <c r="I26" s="2"/>
      <c r="J26" s="2"/>
      <c r="K26" s="2"/>
      <c r="L26" s="4"/>
      <c r="M26" s="2"/>
      <c r="N26" s="4"/>
      <c r="O26" s="4"/>
      <c r="P26" s="4"/>
      <c r="Q26" s="4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30" s="14" customFormat="1" x14ac:dyDescent="0.25">
      <c r="A27" s="38" t="s">
        <v>62</v>
      </c>
      <c r="B27" s="38"/>
      <c r="C27" s="39">
        <v>-3170</v>
      </c>
      <c r="D27" s="38"/>
      <c r="E27" s="39">
        <v>-3105</v>
      </c>
      <c r="F27" s="39"/>
      <c r="G27" s="39">
        <v>-3040</v>
      </c>
      <c r="H27" s="4"/>
      <c r="I27" s="2"/>
      <c r="J27" s="25"/>
      <c r="K27" s="25"/>
      <c r="L27" s="37"/>
      <c r="M27" s="25"/>
      <c r="N27" s="37"/>
      <c r="O27" s="37"/>
      <c r="P27" s="37"/>
      <c r="Q27" s="37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30" x14ac:dyDescent="0.25">
      <c r="A28" s="14"/>
      <c r="B28" s="14"/>
      <c r="D28" s="14"/>
      <c r="F28" s="28"/>
      <c r="G28" s="22"/>
      <c r="H28" s="18"/>
      <c r="J28" s="25"/>
      <c r="K28" s="25"/>
      <c r="L28" s="37"/>
      <c r="M28" s="25"/>
      <c r="N28" s="37"/>
      <c r="O28" s="37"/>
      <c r="P28" s="37"/>
      <c r="Q28" s="40"/>
    </row>
    <row r="29" spans="1:30" s="25" customFormat="1" x14ac:dyDescent="0.25">
      <c r="A29" s="9" t="s">
        <v>43</v>
      </c>
      <c r="B29" s="9"/>
      <c r="C29" s="10"/>
      <c r="D29" s="9"/>
      <c r="E29" s="10"/>
      <c r="F29" s="10"/>
      <c r="G29" s="13"/>
      <c r="H29" s="18"/>
      <c r="J29" s="11" t="s">
        <v>42</v>
      </c>
      <c r="K29" s="11"/>
      <c r="L29" s="9"/>
      <c r="M29" s="11"/>
      <c r="N29" s="9"/>
      <c r="O29" s="9"/>
      <c r="P29" s="13"/>
      <c r="Q29" s="13"/>
    </row>
    <row r="30" spans="1:30" s="41" customFormat="1" x14ac:dyDescent="0.25">
      <c r="A30" s="2" t="s">
        <v>45</v>
      </c>
      <c r="B30" s="2"/>
      <c r="C30" s="35">
        <v>0</v>
      </c>
      <c r="D30" s="2"/>
      <c r="E30" s="35">
        <v>0</v>
      </c>
      <c r="F30" s="27"/>
      <c r="G30" s="35">
        <v>1269</v>
      </c>
      <c r="H30" s="18"/>
      <c r="I30" s="25"/>
      <c r="J30" s="2" t="s">
        <v>44</v>
      </c>
      <c r="K30" s="2"/>
      <c r="L30" s="4">
        <v>17575</v>
      </c>
      <c r="M30" s="2"/>
      <c r="N30" s="4">
        <v>28191</v>
      </c>
      <c r="O30" s="4"/>
      <c r="P30" s="4">
        <v>41859</v>
      </c>
      <c r="Q30" s="4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1:30" ht="16.5" thickBot="1" x14ac:dyDescent="0.3">
      <c r="A31" s="2" t="s">
        <v>134</v>
      </c>
      <c r="C31" s="42">
        <v>-36</v>
      </c>
      <c r="E31" s="42">
        <v>-33</v>
      </c>
      <c r="G31" s="42">
        <v>0</v>
      </c>
      <c r="H31" s="4"/>
      <c r="J31" s="2" t="s">
        <v>46</v>
      </c>
      <c r="L31" s="15">
        <v>-103957</v>
      </c>
      <c r="N31" s="15">
        <v>-10616</v>
      </c>
      <c r="O31" s="15"/>
      <c r="P31" s="15">
        <v>-13668</v>
      </c>
      <c r="Q31" s="4"/>
    </row>
    <row r="32" spans="1:30" ht="16.5" thickTop="1" x14ac:dyDescent="0.25">
      <c r="A32" s="16" t="s">
        <v>47</v>
      </c>
      <c r="B32" s="16"/>
      <c r="C32" s="33">
        <f>SUM(C30:C31)</f>
        <v>-36</v>
      </c>
      <c r="D32" s="16"/>
      <c r="E32" s="33">
        <f>SUM(E30:E31)</f>
        <v>-33</v>
      </c>
      <c r="F32" s="33"/>
      <c r="G32" s="16">
        <f>SUM(G30:G31)</f>
        <v>1269</v>
      </c>
      <c r="H32" s="4"/>
      <c r="J32" s="17" t="s">
        <v>48</v>
      </c>
      <c r="K32" s="17"/>
      <c r="L32" s="16">
        <f>SUM(L30:L31)</f>
        <v>-86382</v>
      </c>
      <c r="M32" s="17"/>
      <c r="N32" s="16">
        <f>SUM(N30:N31)</f>
        <v>17575</v>
      </c>
      <c r="O32" s="16"/>
      <c r="P32" s="16">
        <v>28191</v>
      </c>
      <c r="Q32" s="16"/>
    </row>
    <row r="33" spans="1:21" x14ac:dyDescent="0.25">
      <c r="G33" s="4"/>
      <c r="H33" s="4"/>
      <c r="J33" s="19"/>
      <c r="K33" s="19"/>
      <c r="L33" s="18"/>
      <c r="M33" s="19"/>
      <c r="N33" s="18"/>
      <c r="O33" s="18"/>
      <c r="P33" s="18"/>
      <c r="Q33" s="18"/>
    </row>
    <row r="34" spans="1:21" x14ac:dyDescent="0.25">
      <c r="A34" s="9" t="s">
        <v>49</v>
      </c>
      <c r="B34" s="9"/>
      <c r="C34" s="10"/>
      <c r="D34" s="9"/>
      <c r="E34" s="10"/>
      <c r="F34" s="10"/>
      <c r="G34" s="13"/>
      <c r="H34" s="4"/>
      <c r="J34" s="11" t="s">
        <v>50</v>
      </c>
      <c r="K34" s="11"/>
      <c r="L34" s="9"/>
      <c r="M34" s="11"/>
      <c r="N34" s="9"/>
      <c r="O34" s="9"/>
      <c r="P34" s="13"/>
      <c r="Q34" s="13"/>
    </row>
    <row r="35" spans="1:21" ht="16.5" thickBot="1" x14ac:dyDescent="0.3">
      <c r="A35" s="2" t="s">
        <v>53</v>
      </c>
      <c r="C35" s="42">
        <v>-60418</v>
      </c>
      <c r="E35" s="42">
        <v>-60418</v>
      </c>
      <c r="G35" s="42">
        <v>-48168</v>
      </c>
      <c r="H35" s="4"/>
      <c r="J35" s="2" t="s">
        <v>52</v>
      </c>
      <c r="L35" s="4">
        <v>0</v>
      </c>
      <c r="N35" s="4">
        <v>0</v>
      </c>
      <c r="P35" s="4">
        <v>0</v>
      </c>
      <c r="Q35" s="4"/>
    </row>
    <row r="36" spans="1:21" ht="16.5" thickTop="1" x14ac:dyDescent="0.25">
      <c r="A36" s="17" t="s">
        <v>55</v>
      </c>
      <c r="B36" s="17"/>
      <c r="C36" s="33">
        <f>+C35</f>
        <v>-60418</v>
      </c>
      <c r="D36" s="17"/>
      <c r="E36" s="33">
        <f>+E35</f>
        <v>-60418</v>
      </c>
      <c r="F36" s="34"/>
      <c r="G36" s="16">
        <v>-48168</v>
      </c>
      <c r="H36" s="4"/>
      <c r="J36" s="2" t="s">
        <v>54</v>
      </c>
      <c r="K36" s="2" t="s">
        <v>94</v>
      </c>
      <c r="L36" s="44">
        <v>21514</v>
      </c>
      <c r="N36" s="44">
        <v>30030</v>
      </c>
      <c r="P36" s="44">
        <v>25065</v>
      </c>
      <c r="Q36" s="4"/>
    </row>
    <row r="37" spans="1:21" x14ac:dyDescent="0.25">
      <c r="G37" s="4"/>
      <c r="H37" s="4"/>
      <c r="J37" s="17" t="s">
        <v>56</v>
      </c>
      <c r="K37" s="17"/>
      <c r="L37" s="16">
        <f t="shared" ref="L37:N37" si="0">SUM(L35:L36)</f>
        <v>21514</v>
      </c>
      <c r="M37" s="17"/>
      <c r="N37" s="16">
        <f t="shared" si="0"/>
        <v>30030</v>
      </c>
      <c r="O37" s="16"/>
      <c r="P37" s="16">
        <v>25065</v>
      </c>
      <c r="Q37" s="16"/>
    </row>
    <row r="38" spans="1:21" x14ac:dyDescent="0.25">
      <c r="A38" s="19" t="s">
        <v>57</v>
      </c>
      <c r="B38" s="19"/>
      <c r="C38" s="32">
        <v>0</v>
      </c>
      <c r="D38" s="19"/>
      <c r="E38" s="32">
        <v>0</v>
      </c>
      <c r="G38" s="32">
        <v>0</v>
      </c>
      <c r="H38" s="4"/>
    </row>
    <row r="39" spans="1:21" x14ac:dyDescent="0.25">
      <c r="G39" s="4"/>
      <c r="H39" s="4"/>
      <c r="P39" s="4"/>
      <c r="Q39" s="4"/>
    </row>
    <row r="40" spans="1:21" ht="18.75" x14ac:dyDescent="0.3">
      <c r="A40" s="20" t="s">
        <v>46</v>
      </c>
      <c r="B40" s="20"/>
      <c r="C40" s="16">
        <f>+C38+C36+C32+C27+C25+C9</f>
        <v>-103957</v>
      </c>
      <c r="D40" s="20"/>
      <c r="E40" s="16">
        <f>+E38+E36+E32+E27+E25+E9</f>
        <v>-10616</v>
      </c>
      <c r="F40" s="16"/>
      <c r="G40" s="16">
        <f>+G38+G36+G32+G27+G25+G9</f>
        <v>-13668</v>
      </c>
      <c r="H40" s="4"/>
    </row>
    <row r="41" spans="1:21" ht="18.75" x14ac:dyDescent="0.3">
      <c r="H41" s="4"/>
      <c r="J41" s="20" t="s">
        <v>58</v>
      </c>
      <c r="K41" s="20"/>
      <c r="L41" s="16">
        <f>L25+L32+L37</f>
        <v>10015132</v>
      </c>
      <c r="M41" s="20"/>
      <c r="N41" s="16">
        <f>N25+N32+N37</f>
        <v>10127605</v>
      </c>
      <c r="O41" s="16"/>
      <c r="P41" s="16">
        <v>10133256</v>
      </c>
      <c r="Q41" s="21"/>
    </row>
    <row r="42" spans="1:21" x14ac:dyDescent="0.25">
      <c r="H42" s="4"/>
      <c r="U42" s="22"/>
    </row>
    <row r="43" spans="1:21" x14ac:dyDescent="0.25">
      <c r="H43" s="4"/>
      <c r="L43" s="2">
        <f t="shared" ref="L43:N43" si="1">+L17-L41</f>
        <v>0</v>
      </c>
      <c r="N43" s="2">
        <f t="shared" si="1"/>
        <v>0</v>
      </c>
      <c r="O43" s="2"/>
      <c r="P43" s="2">
        <v>0</v>
      </c>
    </row>
    <row r="44" spans="1:21" x14ac:dyDescent="0.25">
      <c r="H44" s="18"/>
      <c r="R44" s="14"/>
    </row>
    <row r="47" spans="1:21" x14ac:dyDescent="0.25">
      <c r="A47" s="14"/>
      <c r="B47" s="14"/>
      <c r="D47" s="14"/>
      <c r="F47" s="28"/>
      <c r="G47" s="14"/>
    </row>
    <row r="48" spans="1:21" x14ac:dyDescent="0.25">
      <c r="A48" s="14"/>
      <c r="B48" s="14"/>
      <c r="D48" s="14"/>
      <c r="F48" s="28"/>
      <c r="G48" s="14"/>
      <c r="I48" s="14"/>
    </row>
    <row r="49" spans="1:9" x14ac:dyDescent="0.25">
      <c r="A49" s="14"/>
      <c r="B49" s="14"/>
      <c r="D49" s="14"/>
      <c r="F49" s="28"/>
      <c r="G49" s="14"/>
      <c r="I49" s="14"/>
    </row>
    <row r="50" spans="1:9" x14ac:dyDescent="0.25">
      <c r="A50" s="14"/>
      <c r="B50" s="14"/>
      <c r="D50" s="14"/>
      <c r="F50" s="28"/>
      <c r="G50" s="14"/>
      <c r="I50" s="14"/>
    </row>
    <row r="51" spans="1:9" x14ac:dyDescent="0.25">
      <c r="H51" s="14"/>
      <c r="I51" s="14"/>
    </row>
    <row r="52" spans="1:9" x14ac:dyDescent="0.25">
      <c r="H52" s="14"/>
    </row>
    <row r="53" spans="1:9" x14ac:dyDescent="0.25">
      <c r="H53" s="14"/>
    </row>
    <row r="54" spans="1:9" x14ac:dyDescent="0.25">
      <c r="H54" s="14"/>
    </row>
  </sheetData>
  <pageMargins left="0.7" right="0.7" top="0.75" bottom="0.75" header="0.3" footer="0.3"/>
  <pageSetup paperSize="9" scale="80" orientation="portrait" r:id="rId1"/>
  <colBreaks count="2" manualBreakCount="2">
    <brk id="9" max="44" man="1"/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2"/>
  <sheetViews>
    <sheetView topLeftCell="A16" workbookViewId="0">
      <selection activeCell="I15" sqref="I15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6" width="10.7109375" customWidth="1"/>
    <col min="7" max="7" width="13" bestFit="1" customWidth="1"/>
    <col min="8" max="8" width="13" hidden="1" customWidth="1"/>
    <col min="9" max="9" width="6.5703125" customWidth="1"/>
    <col min="11" max="11" width="9.28515625" customWidth="1"/>
    <col min="12" max="12" width="9.140625" customWidth="1"/>
    <col min="13" max="13" width="8.5703125" customWidth="1"/>
    <col min="14" max="14" width="10.7109375" bestFit="1" customWidth="1"/>
    <col min="15" max="15" width="9.5703125" bestFit="1" customWidth="1"/>
    <col min="18" max="23" width="0" hidden="1" customWidth="1"/>
  </cols>
  <sheetData>
    <row r="1" spans="1:22" ht="21" x14ac:dyDescent="0.35">
      <c r="A1" s="45" t="s">
        <v>139</v>
      </c>
    </row>
    <row r="2" spans="1:22" x14ac:dyDescent="0.25">
      <c r="A2" s="46" t="s">
        <v>63</v>
      </c>
      <c r="B2" s="18" t="s">
        <v>64</v>
      </c>
    </row>
    <row r="3" spans="1:22" x14ac:dyDescent="0.25">
      <c r="B3" s="223" t="s">
        <v>65</v>
      </c>
      <c r="C3" s="223"/>
      <c r="D3" s="223"/>
      <c r="E3" s="223"/>
      <c r="F3" s="223"/>
      <c r="G3" s="223"/>
      <c r="H3" s="223"/>
      <c r="I3" s="47"/>
    </row>
    <row r="4" spans="1:22" x14ac:dyDescent="0.25">
      <c r="B4" s="224"/>
      <c r="C4" s="224"/>
      <c r="D4" s="224"/>
      <c r="E4" s="224"/>
      <c r="F4" s="224"/>
      <c r="G4" s="224"/>
      <c r="H4" s="224"/>
    </row>
    <row r="5" spans="1:22" ht="16.5" thickBot="1" x14ac:dyDescent="0.3">
      <c r="A5" s="46" t="s">
        <v>66</v>
      </c>
      <c r="B5" s="46" t="s">
        <v>67</v>
      </c>
      <c r="G5" s="48"/>
    </row>
    <row r="6" spans="1:22" x14ac:dyDescent="0.25">
      <c r="B6" s="14" t="s">
        <v>68</v>
      </c>
      <c r="C6" s="49"/>
      <c r="D6" s="49"/>
      <c r="E6" s="49"/>
      <c r="F6" s="14">
        <v>10078760</v>
      </c>
      <c r="G6" s="14">
        <v>10078760</v>
      </c>
      <c r="H6" s="14">
        <v>10078760</v>
      </c>
      <c r="K6" s="50" t="s">
        <v>62</v>
      </c>
      <c r="L6" s="51"/>
      <c r="M6" s="52" t="s">
        <v>69</v>
      </c>
      <c r="N6" s="53"/>
      <c r="O6" s="53"/>
      <c r="P6" s="225" t="s">
        <v>70</v>
      </c>
      <c r="R6" s="73" t="s">
        <v>80</v>
      </c>
      <c r="S6" s="74"/>
      <c r="T6" s="74"/>
      <c r="U6" s="74"/>
      <c r="V6" s="75"/>
    </row>
    <row r="7" spans="1:22" x14ac:dyDescent="0.25">
      <c r="B7" s="14" t="s">
        <v>71</v>
      </c>
      <c r="C7" s="54">
        <f>+H7/H6</f>
        <v>0.84699992856264061</v>
      </c>
      <c r="D7" s="49" t="s">
        <v>140</v>
      </c>
      <c r="E7" s="55"/>
      <c r="F7" s="14">
        <v>8536709</v>
      </c>
      <c r="G7" s="14">
        <v>8536709</v>
      </c>
      <c r="H7" s="14">
        <v>8536709</v>
      </c>
      <c r="K7" s="56"/>
      <c r="L7" s="57"/>
      <c r="M7" s="58" t="s">
        <v>73</v>
      </c>
      <c r="N7" s="59" t="s">
        <v>74</v>
      </c>
      <c r="O7" s="59" t="s">
        <v>75</v>
      </c>
      <c r="P7" s="226"/>
      <c r="R7" s="76" t="s">
        <v>81</v>
      </c>
      <c r="S7" s="77"/>
      <c r="T7" s="78"/>
    </row>
    <row r="8" spans="1:22" x14ac:dyDescent="0.25">
      <c r="B8" s="14" t="s">
        <v>76</v>
      </c>
      <c r="C8" s="49"/>
      <c r="D8" s="49"/>
      <c r="E8" s="49"/>
      <c r="F8" s="14">
        <v>60681</v>
      </c>
      <c r="G8" s="14">
        <v>60681</v>
      </c>
      <c r="H8" s="14">
        <v>60681</v>
      </c>
      <c r="I8" s="14"/>
      <c r="K8" s="60" t="s">
        <v>77</v>
      </c>
      <c r="L8" s="61"/>
      <c r="M8" s="62">
        <v>5</v>
      </c>
      <c r="N8" s="62">
        <v>403334</v>
      </c>
      <c r="O8" s="62">
        <f>+M8*N8</f>
        <v>2016670</v>
      </c>
      <c r="P8" s="63"/>
      <c r="R8" s="79" t="s">
        <v>83</v>
      </c>
      <c r="S8" s="80" t="s">
        <v>84</v>
      </c>
      <c r="T8" s="80" t="s">
        <v>85</v>
      </c>
    </row>
    <row r="9" spans="1:22" ht="16.5" thickBot="1" x14ac:dyDescent="0.3">
      <c r="B9" s="14" t="s">
        <v>121</v>
      </c>
      <c r="C9" s="49"/>
      <c r="D9" s="49"/>
      <c r="E9" s="49"/>
      <c r="F9" s="14">
        <v>367500</v>
      </c>
      <c r="G9" s="14">
        <v>367500</v>
      </c>
      <c r="H9" s="14">
        <v>367500</v>
      </c>
      <c r="I9" s="64"/>
      <c r="K9" s="65" t="s">
        <v>78</v>
      </c>
      <c r="L9" s="66"/>
      <c r="M9" s="67">
        <v>5</v>
      </c>
      <c r="N9" s="67">
        <v>605</v>
      </c>
      <c r="O9" s="68">
        <f>+N9*M9</f>
        <v>3025</v>
      </c>
      <c r="P9" s="69">
        <f>+H11*0.0015</f>
        <v>7128</v>
      </c>
      <c r="R9" s="83">
        <f>-(U17*H8+U18*H7)</f>
        <v>-173768.22999999998</v>
      </c>
      <c r="S9" s="84">
        <f>-(U17*H8+U19*H7)</f>
        <v>-88401.14</v>
      </c>
      <c r="T9" s="84">
        <f>-(U17*H8+U20*H7)</f>
        <v>-45717.595000000001</v>
      </c>
    </row>
    <row r="10" spans="1:22" x14ac:dyDescent="0.25">
      <c r="I10" s="14"/>
    </row>
    <row r="11" spans="1:22" x14ac:dyDescent="0.25">
      <c r="B11" s="14" t="s">
        <v>79</v>
      </c>
      <c r="C11" s="49"/>
      <c r="D11" s="49"/>
      <c r="E11" s="49"/>
      <c r="F11" s="14">
        <v>4752000</v>
      </c>
      <c r="G11" s="14">
        <v>4752000</v>
      </c>
      <c r="H11" s="14">
        <v>4752000</v>
      </c>
      <c r="I11" s="28"/>
    </row>
    <row r="12" spans="1:22" x14ac:dyDescent="0.25">
      <c r="B12" s="70" t="s">
        <v>114</v>
      </c>
      <c r="C12" s="49"/>
      <c r="D12" s="49"/>
      <c r="E12" s="49"/>
      <c r="F12" s="14">
        <v>4027000</v>
      </c>
      <c r="G12" s="14">
        <v>4027000</v>
      </c>
      <c r="H12" s="14">
        <v>4027000</v>
      </c>
      <c r="I12" s="14"/>
      <c r="J12" s="2"/>
    </row>
    <row r="13" spans="1:22" x14ac:dyDescent="0.25">
      <c r="B13" s="71"/>
      <c r="G13" s="2"/>
      <c r="H13" s="2"/>
      <c r="I13" s="14"/>
      <c r="K13" s="73" t="s">
        <v>80</v>
      </c>
      <c r="L13" s="74"/>
      <c r="M13" s="74"/>
      <c r="N13" s="74"/>
      <c r="O13" s="75"/>
    </row>
    <row r="14" spans="1:22" x14ac:dyDescent="0.25">
      <c r="B14" s="18" t="s">
        <v>49</v>
      </c>
      <c r="F14" s="103" t="s">
        <v>146</v>
      </c>
      <c r="G14" s="103" t="s">
        <v>147</v>
      </c>
      <c r="H14" s="72" t="s">
        <v>123</v>
      </c>
      <c r="I14" s="14"/>
      <c r="K14" s="76" t="s">
        <v>81</v>
      </c>
      <c r="L14" s="77"/>
      <c r="M14" s="78"/>
    </row>
    <row r="15" spans="1:22" x14ac:dyDescent="0.25">
      <c r="B15" s="14" t="s">
        <v>71</v>
      </c>
      <c r="C15" s="49"/>
      <c r="D15" s="49"/>
      <c r="E15" s="49"/>
      <c r="F15" s="14">
        <v>8964890</v>
      </c>
      <c r="G15" s="14">
        <v>8964890</v>
      </c>
      <c r="H15" s="14">
        <v>8964890</v>
      </c>
      <c r="I15" s="14"/>
      <c r="K15" s="79" t="s">
        <v>83</v>
      </c>
      <c r="L15" s="80" t="s">
        <v>84</v>
      </c>
      <c r="M15" s="80" t="s">
        <v>85</v>
      </c>
    </row>
    <row r="16" spans="1:22" x14ac:dyDescent="0.25">
      <c r="B16" s="14" t="s">
        <v>82</v>
      </c>
      <c r="C16" s="49"/>
      <c r="D16" s="49"/>
      <c r="E16" s="49"/>
      <c r="F16" s="14">
        <f>G16+G17-1</f>
        <v>-462193.59499999997</v>
      </c>
      <c r="G16" s="14">
        <f>H16+H17</f>
        <v>-401775</v>
      </c>
      <c r="H16" s="14">
        <v>-353607</v>
      </c>
      <c r="K16" s="83">
        <f>-(N24*H8+N26*H7)</f>
        <v>-173768.22999999998</v>
      </c>
      <c r="L16" s="84">
        <f>-(N24*H8+N27*H7)</f>
        <v>-88401.14</v>
      </c>
      <c r="M16" s="84">
        <f>-(N24*H8+N28*H7+H9*N25)</f>
        <v>-60417.595000000001</v>
      </c>
      <c r="R16" s="58" t="s">
        <v>90</v>
      </c>
      <c r="S16" s="88"/>
      <c r="T16" s="59" t="s">
        <v>91</v>
      </c>
      <c r="U16" s="89" t="s">
        <v>92</v>
      </c>
    </row>
    <row r="17" spans="1:21" ht="16.5" thickBot="1" x14ac:dyDescent="0.3">
      <c r="B17" s="14" t="s">
        <v>86</v>
      </c>
      <c r="C17" s="49"/>
      <c r="D17" s="49"/>
      <c r="E17" s="49"/>
      <c r="F17" s="81">
        <f>+M16</f>
        <v>-60417.595000000001</v>
      </c>
      <c r="G17" s="81">
        <f>+M16</f>
        <v>-60417.595000000001</v>
      </c>
      <c r="H17" s="81">
        <v>-48168</v>
      </c>
      <c r="R17" s="90" t="s">
        <v>93</v>
      </c>
      <c r="S17" s="90"/>
      <c r="T17" s="90">
        <v>20</v>
      </c>
      <c r="U17" s="91">
        <f>1/T17</f>
        <v>0.05</v>
      </c>
    </row>
    <row r="18" spans="1:21" ht="16.5" thickTop="1" x14ac:dyDescent="0.25">
      <c r="B18" s="2"/>
      <c r="E18" s="85" t="s">
        <v>87</v>
      </c>
      <c r="F18" s="86">
        <f>SUM(F15:F17)</f>
        <v>8442278.8099999987</v>
      </c>
      <c r="G18" s="86">
        <f>SUM(G15:G17)</f>
        <v>8502697.4049999993</v>
      </c>
      <c r="H18" s="86">
        <f>SUM(H15:H17)</f>
        <v>8563115</v>
      </c>
      <c r="I18" s="47"/>
      <c r="R18" s="90" t="s">
        <v>96</v>
      </c>
      <c r="S18" s="90"/>
      <c r="T18" s="90">
        <v>50</v>
      </c>
      <c r="U18" s="92">
        <f>1/T18</f>
        <v>0.02</v>
      </c>
    </row>
    <row r="19" spans="1:21" x14ac:dyDescent="0.25">
      <c r="B19" s="14"/>
      <c r="D19" s="14"/>
      <c r="E19" s="14"/>
      <c r="F19" s="14"/>
      <c r="G19" s="14"/>
      <c r="H19" s="14"/>
      <c r="R19" s="90" t="s">
        <v>96</v>
      </c>
      <c r="S19" s="90"/>
      <c r="T19" s="90">
        <v>100</v>
      </c>
      <c r="U19" s="92">
        <f>1/T19</f>
        <v>0.01</v>
      </c>
    </row>
    <row r="20" spans="1:21" x14ac:dyDescent="0.25">
      <c r="A20" s="46" t="s">
        <v>88</v>
      </c>
      <c r="B20" s="18" t="s">
        <v>14</v>
      </c>
      <c r="G20" s="87"/>
      <c r="H20" s="87"/>
      <c r="R20" s="90" t="s">
        <v>96</v>
      </c>
      <c r="S20" s="90"/>
      <c r="T20" s="90">
        <v>200</v>
      </c>
      <c r="U20" s="92">
        <f>1/T20</f>
        <v>5.0000000000000001E-3</v>
      </c>
    </row>
    <row r="21" spans="1:21" x14ac:dyDescent="0.25">
      <c r="B21" s="227" t="s">
        <v>89</v>
      </c>
      <c r="C21" s="228"/>
      <c r="D21" s="228"/>
      <c r="E21" s="228"/>
      <c r="F21" s="14">
        <f>+G6-G7</f>
        <v>1542051</v>
      </c>
      <c r="G21" s="14">
        <f>+H6-H7</f>
        <v>1542051</v>
      </c>
      <c r="H21" s="14">
        <v>1542051</v>
      </c>
    </row>
    <row r="22" spans="1:21" x14ac:dyDescent="0.25">
      <c r="B22" s="94"/>
      <c r="C22" s="95"/>
      <c r="D22" s="95"/>
      <c r="E22" s="95"/>
      <c r="F22" s="95"/>
      <c r="G22" s="14"/>
      <c r="H22" s="14"/>
    </row>
    <row r="23" spans="1:21" x14ac:dyDescent="0.25">
      <c r="A23" s="46" t="s">
        <v>94</v>
      </c>
      <c r="B23" s="46" t="s">
        <v>95</v>
      </c>
      <c r="K23" s="58" t="s">
        <v>90</v>
      </c>
      <c r="L23" s="88"/>
      <c r="M23" s="59" t="s">
        <v>91</v>
      </c>
      <c r="N23" s="89" t="s">
        <v>92</v>
      </c>
    </row>
    <row r="24" spans="1:21" x14ac:dyDescent="0.25">
      <c r="B24" s="49" t="s">
        <v>97</v>
      </c>
      <c r="C24" s="49"/>
      <c r="D24" s="49"/>
      <c r="E24" s="49"/>
      <c r="F24" s="70">
        <v>11585</v>
      </c>
      <c r="G24" s="14">
        <v>11585</v>
      </c>
      <c r="H24" s="14">
        <v>11585</v>
      </c>
      <c r="K24" s="90" t="s">
        <v>93</v>
      </c>
      <c r="L24" s="90"/>
      <c r="M24" s="90">
        <v>20</v>
      </c>
      <c r="N24" s="92">
        <f>1/M24</f>
        <v>0.05</v>
      </c>
    </row>
    <row r="25" spans="1:21" x14ac:dyDescent="0.25">
      <c r="B25" s="49" t="s">
        <v>98</v>
      </c>
      <c r="C25" s="49"/>
      <c r="D25" s="49"/>
      <c r="E25" s="49"/>
      <c r="F25" s="70">
        <v>6723</v>
      </c>
      <c r="G25" s="14">
        <f>1302+4874+4806</f>
        <v>10982</v>
      </c>
      <c r="H25" s="14">
        <f>13480-3073</f>
        <v>10407</v>
      </c>
      <c r="K25" s="97" t="s">
        <v>128</v>
      </c>
      <c r="L25" s="98"/>
      <c r="M25" s="99">
        <v>25</v>
      </c>
      <c r="N25" s="92">
        <v>0.04</v>
      </c>
      <c r="O25" t="s">
        <v>129</v>
      </c>
    </row>
    <row r="26" spans="1:21" x14ac:dyDescent="0.25">
      <c r="B26" s="49" t="s">
        <v>138</v>
      </c>
      <c r="C26" s="49"/>
      <c r="D26" s="49"/>
      <c r="E26" s="49"/>
      <c r="F26" s="70">
        <v>3206</v>
      </c>
      <c r="G26" s="14">
        <v>3138</v>
      </c>
      <c r="H26" s="14">
        <v>3073</v>
      </c>
      <c r="K26" s="90" t="s">
        <v>96</v>
      </c>
      <c r="L26" s="90"/>
      <c r="M26" s="90">
        <v>50</v>
      </c>
      <c r="N26" s="92">
        <f>1/M26</f>
        <v>0.02</v>
      </c>
    </row>
    <row r="27" spans="1:21" x14ac:dyDescent="0.25">
      <c r="B27" s="49" t="s">
        <v>136</v>
      </c>
      <c r="C27" s="49"/>
      <c r="D27" s="49"/>
      <c r="E27" s="49"/>
      <c r="F27" s="64"/>
      <c r="G27" s="14">
        <v>1125</v>
      </c>
      <c r="H27" s="14"/>
      <c r="K27" s="90" t="s">
        <v>96</v>
      </c>
      <c r="L27" s="90"/>
      <c r="M27" s="90">
        <v>100</v>
      </c>
      <c r="N27" s="92">
        <f>1/M27</f>
        <v>0.01</v>
      </c>
    </row>
    <row r="28" spans="1:21" x14ac:dyDescent="0.25">
      <c r="B28" s="49" t="s">
        <v>137</v>
      </c>
      <c r="C28" s="49"/>
      <c r="D28" s="49"/>
      <c r="E28" s="49"/>
      <c r="F28" s="64"/>
      <c r="G28" s="14">
        <v>3200</v>
      </c>
      <c r="H28" s="14"/>
      <c r="K28" s="90" t="s">
        <v>96</v>
      </c>
      <c r="L28" s="90"/>
      <c r="M28" s="90">
        <v>200</v>
      </c>
      <c r="N28" s="92">
        <f>1/M28</f>
        <v>5.0000000000000001E-3</v>
      </c>
    </row>
    <row r="29" spans="1:21" ht="16.5" thickBot="1" x14ac:dyDescent="0.3">
      <c r="E29" s="85" t="s">
        <v>99</v>
      </c>
      <c r="F29" s="101">
        <f>SUM(F24:F28)</f>
        <v>21514</v>
      </c>
      <c r="G29" s="101">
        <f>SUM(G24:G28)</f>
        <v>30030</v>
      </c>
      <c r="H29" s="101">
        <f>SUM(H24:H28)</f>
        <v>25065</v>
      </c>
      <c r="N29" s="100"/>
    </row>
    <row r="30" spans="1:21" ht="16.5" thickTop="1" x14ac:dyDescent="0.25"/>
    <row r="31" spans="1:21" x14ac:dyDescent="0.25">
      <c r="A31" s="46" t="s">
        <v>100</v>
      </c>
      <c r="B31" s="46" t="s">
        <v>38</v>
      </c>
      <c r="G31" s="87"/>
      <c r="H31" s="87"/>
    </row>
    <row r="32" spans="1:21" x14ac:dyDescent="0.25">
      <c r="B32" s="49" t="s">
        <v>112</v>
      </c>
      <c r="C32" s="49"/>
      <c r="D32" s="49"/>
      <c r="E32" s="49"/>
      <c r="F32" s="14">
        <v>10080000</v>
      </c>
      <c r="G32" s="14">
        <v>10080000</v>
      </c>
      <c r="H32" s="14">
        <v>10080000</v>
      </c>
    </row>
  </sheetData>
  <mergeCells count="3">
    <mergeCell ref="B3:H4"/>
    <mergeCell ref="P6:P7"/>
    <mergeCell ref="B21:E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4"/>
  <sheetViews>
    <sheetView zoomScaleNormal="100" workbookViewId="0">
      <selection activeCell="O18" sqref="O18"/>
    </sheetView>
  </sheetViews>
  <sheetFormatPr defaultColWidth="9.140625" defaultRowHeight="15.75" x14ac:dyDescent="0.25"/>
  <cols>
    <col min="1" max="1" width="42.28515625" style="2" customWidth="1"/>
    <col min="2" max="2" width="12" style="2" customWidth="1"/>
    <col min="3" max="3" width="16" style="35" customWidth="1"/>
    <col min="4" max="4" width="8.28515625" style="27" customWidth="1"/>
    <col min="5" max="5" width="15" style="2" customWidth="1"/>
    <col min="6" max="6" width="1.5703125" style="2" customWidth="1"/>
    <col min="7" max="7" width="3.28515625" style="2" customWidth="1"/>
    <col min="8" max="8" width="43" style="2" customWidth="1"/>
    <col min="9" max="9" width="12.28515625" style="2" customWidth="1"/>
    <col min="10" max="11" width="15.85546875" style="4" customWidth="1"/>
    <col min="12" max="12" width="15.85546875" style="2" customWidth="1"/>
    <col min="13" max="13" width="2" style="2" customWidth="1"/>
    <col min="14" max="14" width="8.85546875" style="2" bestFit="1" customWidth="1"/>
    <col min="15" max="16" width="9.140625" style="2"/>
    <col min="17" max="17" width="13.85546875" style="2" customWidth="1"/>
    <col min="18" max="16384" width="9.140625" style="2"/>
  </cols>
  <sheetData>
    <row r="1" spans="1:23" ht="21" x14ac:dyDescent="0.35">
      <c r="A1" s="1" t="s">
        <v>0</v>
      </c>
      <c r="B1" s="1"/>
      <c r="C1" s="32"/>
      <c r="H1" s="1" t="s">
        <v>1</v>
      </c>
      <c r="I1" s="1"/>
      <c r="J1" s="18"/>
      <c r="K1" s="18"/>
    </row>
    <row r="2" spans="1:23" ht="18.75" x14ac:dyDescent="0.3">
      <c r="A2" s="3" t="s">
        <v>2</v>
      </c>
      <c r="B2" s="3"/>
      <c r="H2" s="3" t="s">
        <v>2</v>
      </c>
      <c r="I2" s="3"/>
    </row>
    <row r="3" spans="1:23" x14ac:dyDescent="0.25">
      <c r="A3" s="4" t="s">
        <v>3</v>
      </c>
      <c r="B3" s="4"/>
      <c r="H3" s="4" t="s">
        <v>3</v>
      </c>
      <c r="I3" s="4"/>
    </row>
    <row r="4" spans="1:23" x14ac:dyDescent="0.25">
      <c r="A4" s="4" t="s">
        <v>131</v>
      </c>
      <c r="B4" s="4"/>
      <c r="H4" s="5" t="s">
        <v>132</v>
      </c>
      <c r="I4" s="5"/>
      <c r="J4" s="5"/>
      <c r="K4" s="5"/>
    </row>
    <row r="5" spans="1:23" x14ac:dyDescent="0.25">
      <c r="H5" s="6"/>
      <c r="I5" s="6"/>
      <c r="J5" s="6"/>
      <c r="K5" s="6"/>
    </row>
    <row r="6" spans="1:23" ht="18.75" x14ac:dyDescent="0.3">
      <c r="A6" s="7" t="s">
        <v>6</v>
      </c>
      <c r="B6" s="7"/>
      <c r="C6" s="32"/>
      <c r="H6" s="7" t="s">
        <v>7</v>
      </c>
      <c r="I6" s="7"/>
      <c r="J6" s="18"/>
      <c r="K6" s="18"/>
      <c r="M6" s="8"/>
    </row>
    <row r="7" spans="1:23" ht="18.75" x14ac:dyDescent="0.3">
      <c r="A7" s="9" t="s">
        <v>8</v>
      </c>
      <c r="B7" s="9"/>
      <c r="C7" s="10" t="s">
        <v>133</v>
      </c>
      <c r="D7" s="10"/>
      <c r="E7" s="10" t="s">
        <v>119</v>
      </c>
      <c r="F7" s="32"/>
      <c r="H7" s="11" t="s">
        <v>10</v>
      </c>
      <c r="I7" s="11"/>
      <c r="J7" s="26" t="s">
        <v>135</v>
      </c>
      <c r="K7" s="26"/>
      <c r="L7" s="26" t="s">
        <v>120</v>
      </c>
      <c r="M7" s="13"/>
      <c r="N7" s="14"/>
    </row>
    <row r="8" spans="1:23" s="14" customFormat="1" x14ac:dyDescent="0.25">
      <c r="A8" s="2" t="s">
        <v>11</v>
      </c>
      <c r="B8" s="2"/>
      <c r="C8" s="35">
        <v>139020</v>
      </c>
      <c r="D8" s="28"/>
      <c r="E8" s="35">
        <v>139020</v>
      </c>
      <c r="F8" s="4"/>
      <c r="G8" s="2"/>
      <c r="H8" s="2" t="s">
        <v>12</v>
      </c>
      <c r="I8" s="2" t="s">
        <v>66</v>
      </c>
      <c r="J8" s="4">
        <f>8964890-462193</f>
        <v>8502697</v>
      </c>
      <c r="K8" s="4"/>
      <c r="L8" s="4">
        <v>8563115</v>
      </c>
      <c r="M8" s="4"/>
      <c r="N8" s="2"/>
    </row>
    <row r="9" spans="1:23" s="14" customFormat="1" ht="16.5" thickBot="1" x14ac:dyDescent="0.3">
      <c r="A9" s="16" t="s">
        <v>15</v>
      </c>
      <c r="B9" s="16"/>
      <c r="C9" s="33">
        <v>139020</v>
      </c>
      <c r="D9" s="29"/>
      <c r="E9" s="16">
        <v>139020</v>
      </c>
      <c r="F9" s="4"/>
      <c r="G9" s="2"/>
      <c r="H9" s="2" t="s">
        <v>14</v>
      </c>
      <c r="I9" s="2" t="s">
        <v>88</v>
      </c>
      <c r="J9" s="15">
        <v>1542051</v>
      </c>
      <c r="K9" s="15"/>
      <c r="L9" s="15">
        <v>1542051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6.5" thickTop="1" x14ac:dyDescent="0.25">
      <c r="A10" s="23"/>
      <c r="B10" s="23"/>
      <c r="C10" s="36"/>
      <c r="D10" s="30"/>
      <c r="E10" s="23"/>
      <c r="F10" s="18"/>
      <c r="H10" s="17" t="s">
        <v>16</v>
      </c>
      <c r="I10" s="17"/>
      <c r="J10" s="16">
        <f>J8+J9</f>
        <v>10044748</v>
      </c>
      <c r="K10" s="16"/>
      <c r="L10" s="16">
        <v>10105166</v>
      </c>
      <c r="M10" s="16"/>
    </row>
    <row r="11" spans="1:23" s="25" customFormat="1" x14ac:dyDescent="0.25">
      <c r="A11" s="18"/>
      <c r="B11" s="18"/>
      <c r="C11" s="32"/>
      <c r="D11" s="31"/>
      <c r="E11" s="18"/>
      <c r="F11" s="18"/>
      <c r="H11" s="24"/>
      <c r="I11" s="24"/>
      <c r="J11" s="23"/>
      <c r="K11" s="23"/>
      <c r="L11" s="23"/>
      <c r="M11" s="23"/>
    </row>
    <row r="12" spans="1:23" ht="18.75" x14ac:dyDescent="0.3">
      <c r="A12" s="7" t="s">
        <v>17</v>
      </c>
      <c r="B12" s="7"/>
      <c r="C12" s="32"/>
      <c r="E12" s="4"/>
      <c r="F12" s="18"/>
      <c r="H12" s="11" t="s">
        <v>19</v>
      </c>
      <c r="I12" s="11"/>
      <c r="J12" s="9"/>
      <c r="K12" s="9"/>
      <c r="L12" s="13"/>
      <c r="M12" s="13"/>
    </row>
    <row r="13" spans="1:23" s="14" customFormat="1" x14ac:dyDescent="0.25">
      <c r="A13" s="9" t="s">
        <v>18</v>
      </c>
      <c r="B13" s="9"/>
      <c r="C13" s="10"/>
      <c r="D13" s="10"/>
      <c r="E13" s="13"/>
      <c r="F13" s="4"/>
      <c r="G13" s="2"/>
      <c r="H13" s="2" t="s">
        <v>21</v>
      </c>
      <c r="I13" s="2"/>
      <c r="J13" s="4">
        <v>82857</v>
      </c>
      <c r="K13" s="4"/>
      <c r="L13" s="4">
        <v>28090</v>
      </c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4" customFormat="1" x14ac:dyDescent="0.25">
      <c r="A14" s="2" t="s">
        <v>24</v>
      </c>
      <c r="B14" s="2"/>
      <c r="C14" s="35">
        <v>-3106</v>
      </c>
      <c r="D14" s="28"/>
      <c r="E14" s="35">
        <v>-26444</v>
      </c>
      <c r="F14" s="4"/>
      <c r="G14" s="2"/>
      <c r="H14" s="2" t="s">
        <v>23</v>
      </c>
      <c r="I14" s="2"/>
      <c r="J14" s="4">
        <v>0</v>
      </c>
      <c r="K14" s="4"/>
      <c r="L14" s="4">
        <v>0</v>
      </c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14" customFormat="1" x14ac:dyDescent="0.25">
      <c r="A15" s="2" t="s">
        <v>26</v>
      </c>
      <c r="B15" s="2"/>
      <c r="C15" s="35">
        <v>-9182</v>
      </c>
      <c r="D15" s="28"/>
      <c r="E15" s="35">
        <v>-10002</v>
      </c>
      <c r="F15" s="4"/>
      <c r="G15" s="2"/>
      <c r="H15" s="17" t="s">
        <v>25</v>
      </c>
      <c r="I15" s="17"/>
      <c r="J15" s="16">
        <f>J13+J14</f>
        <v>82857</v>
      </c>
      <c r="K15" s="16"/>
      <c r="L15" s="16">
        <v>28090</v>
      </c>
      <c r="M15" s="16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4" customFormat="1" x14ac:dyDescent="0.25">
      <c r="A16" s="2" t="s">
        <v>27</v>
      </c>
      <c r="B16" s="2"/>
      <c r="C16" s="35">
        <v>-11899</v>
      </c>
      <c r="D16" s="28"/>
      <c r="E16" s="35">
        <v>-7102</v>
      </c>
      <c r="F16" s="4"/>
      <c r="G16" s="2"/>
      <c r="H16" s="19"/>
      <c r="I16" s="19"/>
      <c r="J16" s="18"/>
      <c r="K16" s="18"/>
      <c r="L16" s="18"/>
      <c r="M16" s="18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6" s="14" customFormat="1" ht="18.75" x14ac:dyDescent="0.3">
      <c r="A17" s="2" t="s">
        <v>29</v>
      </c>
      <c r="B17" s="2"/>
      <c r="C17" s="35">
        <v>-36224</v>
      </c>
      <c r="D17" s="28"/>
      <c r="E17" s="35">
        <v>-38929</v>
      </c>
      <c r="F17" s="4"/>
      <c r="G17" s="2"/>
      <c r="H17" s="20" t="s">
        <v>28</v>
      </c>
      <c r="I17" s="20"/>
      <c r="J17" s="16">
        <f>+J10+J15</f>
        <v>10127605</v>
      </c>
      <c r="K17" s="16"/>
      <c r="L17" s="16">
        <v>10133256</v>
      </c>
      <c r="M17" s="16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6" s="14" customFormat="1" ht="18.75" x14ac:dyDescent="0.3">
      <c r="A18" s="2" t="s">
        <v>30</v>
      </c>
      <c r="B18" s="2"/>
      <c r="C18" s="35">
        <v>-8399</v>
      </c>
      <c r="D18" s="28"/>
      <c r="E18" s="35">
        <v>-8540</v>
      </c>
      <c r="F18" s="4"/>
      <c r="G18" s="2"/>
      <c r="H18" s="7"/>
      <c r="I18" s="7"/>
      <c r="J18" s="18"/>
      <c r="K18" s="18"/>
      <c r="L18" s="18"/>
      <c r="M18" s="18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6" s="14" customFormat="1" x14ac:dyDescent="0.25">
      <c r="A19" s="2" t="s">
        <v>31</v>
      </c>
      <c r="B19" s="2"/>
      <c r="C19" s="35">
        <v>-5683</v>
      </c>
      <c r="D19" s="28"/>
      <c r="E19" s="35">
        <v>-5427</v>
      </c>
      <c r="F19" s="4"/>
      <c r="G19" s="2"/>
      <c r="J19" s="4"/>
      <c r="K19" s="4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6" s="14" customFormat="1" x14ac:dyDescent="0.25">
      <c r="A20" s="2" t="s">
        <v>32</v>
      </c>
      <c r="B20" s="2"/>
      <c r="C20" s="35">
        <v>-2023</v>
      </c>
      <c r="D20" s="28"/>
      <c r="E20" s="35">
        <v>-131</v>
      </c>
      <c r="F20" s="4"/>
      <c r="G20" s="2"/>
      <c r="J20" s="4"/>
      <c r="K20" s="4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6" s="14" customFormat="1" x14ac:dyDescent="0.25">
      <c r="A21" s="2" t="s">
        <v>33</v>
      </c>
      <c r="B21" s="2"/>
      <c r="C21" s="35">
        <f>-1097-648</f>
        <v>-1745</v>
      </c>
      <c r="D21" s="28"/>
      <c r="E21" s="35">
        <v>-1757</v>
      </c>
      <c r="F21" s="4"/>
      <c r="G21" s="2"/>
      <c r="J21" s="4"/>
      <c r="K21" s="4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6" s="14" customFormat="1" ht="18.75" x14ac:dyDescent="0.3">
      <c r="A22" s="2" t="s">
        <v>35</v>
      </c>
      <c r="B22" s="2"/>
      <c r="C22" s="35">
        <v>-1453</v>
      </c>
      <c r="D22" s="28"/>
      <c r="E22" s="35">
        <v>0</v>
      </c>
      <c r="F22" s="4"/>
      <c r="G22" s="2"/>
      <c r="H22" s="7" t="s">
        <v>34</v>
      </c>
      <c r="I22" s="7"/>
      <c r="J22" s="18"/>
      <c r="K22" s="18"/>
      <c r="L22" s="4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6" s="14" customFormat="1" x14ac:dyDescent="0.25">
      <c r="A23" s="2" t="s">
        <v>37</v>
      </c>
      <c r="B23" s="2"/>
      <c r="C23" s="35">
        <f>-3200-2252</f>
        <v>-5452</v>
      </c>
      <c r="D23" s="28"/>
      <c r="E23" s="35">
        <v>-3252</v>
      </c>
      <c r="F23" s="4"/>
      <c r="G23" s="2"/>
      <c r="H23" s="11" t="s">
        <v>36</v>
      </c>
      <c r="I23" s="11"/>
      <c r="J23" s="9"/>
      <c r="K23" s="9"/>
      <c r="L23" s="9"/>
      <c r="M23" s="13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6" s="14" customFormat="1" ht="16.5" thickBot="1" x14ac:dyDescent="0.3">
      <c r="A24" s="2" t="s">
        <v>39</v>
      </c>
      <c r="B24" s="2"/>
      <c r="C24" s="42">
        <v>-914</v>
      </c>
      <c r="D24" s="28"/>
      <c r="E24" s="42">
        <v>-1165</v>
      </c>
      <c r="F24" s="4"/>
      <c r="G24" s="2"/>
      <c r="H24" s="2" t="s">
        <v>38</v>
      </c>
      <c r="I24" s="2" t="s">
        <v>100</v>
      </c>
      <c r="J24" s="15">
        <v>10080000</v>
      </c>
      <c r="K24" s="15"/>
      <c r="L24" s="15">
        <v>10080000</v>
      </c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6" s="14" customFormat="1" ht="16.5" thickTop="1" x14ac:dyDescent="0.25">
      <c r="A25" s="16" t="s">
        <v>41</v>
      </c>
      <c r="B25" s="16"/>
      <c r="C25" s="33">
        <f>SUM(C14:C24)</f>
        <v>-86080</v>
      </c>
      <c r="D25" s="33"/>
      <c r="E25" s="16">
        <v>-102749</v>
      </c>
      <c r="F25" s="4"/>
      <c r="G25" s="2"/>
      <c r="H25" s="17" t="s">
        <v>40</v>
      </c>
      <c r="I25" s="17"/>
      <c r="J25" s="16">
        <v>10080000</v>
      </c>
      <c r="K25" s="16"/>
      <c r="L25" s="16">
        <v>10080000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6" s="14" customFormat="1" x14ac:dyDescent="0.25">
      <c r="A26" s="23"/>
      <c r="B26" s="23"/>
      <c r="C26" s="36"/>
      <c r="D26" s="36"/>
      <c r="E26" s="23"/>
      <c r="F26" s="4"/>
      <c r="G26" s="2"/>
      <c r="H26" s="2"/>
      <c r="I26" s="2"/>
      <c r="J26" s="4"/>
      <c r="K26" s="4"/>
      <c r="L26" s="4"/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6" s="14" customFormat="1" x14ac:dyDescent="0.25">
      <c r="A27" s="38" t="s">
        <v>62</v>
      </c>
      <c r="B27" s="38"/>
      <c r="C27" s="39">
        <v>-3105</v>
      </c>
      <c r="D27" s="39"/>
      <c r="E27" s="39">
        <v>-3040</v>
      </c>
      <c r="F27" s="4"/>
      <c r="G27" s="2"/>
      <c r="H27" s="25"/>
      <c r="I27" s="25"/>
      <c r="J27" s="37"/>
      <c r="K27" s="37"/>
      <c r="L27" s="37"/>
      <c r="M27" s="37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6" x14ac:dyDescent="0.25">
      <c r="A28" s="14"/>
      <c r="B28" s="14"/>
      <c r="D28" s="28"/>
      <c r="E28" s="22"/>
      <c r="F28" s="18"/>
      <c r="H28" s="25"/>
      <c r="I28" s="25"/>
      <c r="J28" s="37"/>
      <c r="K28" s="37"/>
      <c r="L28" s="37"/>
      <c r="M28" s="40"/>
    </row>
    <row r="29" spans="1:26" s="25" customFormat="1" x14ac:dyDescent="0.25">
      <c r="A29" s="9" t="s">
        <v>43</v>
      </c>
      <c r="B29" s="9"/>
      <c r="C29" s="10"/>
      <c r="D29" s="10"/>
      <c r="E29" s="13"/>
      <c r="F29" s="18"/>
      <c r="H29" s="11" t="s">
        <v>42</v>
      </c>
      <c r="I29" s="11"/>
      <c r="J29" s="9"/>
      <c r="K29" s="9"/>
      <c r="L29" s="13"/>
      <c r="M29" s="13"/>
    </row>
    <row r="30" spans="1:26" s="41" customFormat="1" x14ac:dyDescent="0.25">
      <c r="A30" s="2" t="s">
        <v>45</v>
      </c>
      <c r="B30" s="2"/>
      <c r="C30" s="35">
        <v>0</v>
      </c>
      <c r="D30" s="27"/>
      <c r="E30" s="35">
        <v>1269</v>
      </c>
      <c r="F30" s="18"/>
      <c r="G30" s="25"/>
      <c r="H30" s="2" t="s">
        <v>44</v>
      </c>
      <c r="I30" s="2"/>
      <c r="J30" s="4">
        <v>28191</v>
      </c>
      <c r="K30" s="4"/>
      <c r="L30" s="4">
        <v>41859</v>
      </c>
      <c r="M30" s="4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6.5" thickBot="1" x14ac:dyDescent="0.3">
      <c r="A31" s="2" t="s">
        <v>134</v>
      </c>
      <c r="C31" s="42">
        <v>-33</v>
      </c>
      <c r="E31" s="42">
        <v>0</v>
      </c>
      <c r="F31" s="4"/>
      <c r="H31" s="2" t="s">
        <v>46</v>
      </c>
      <c r="J31" s="15">
        <v>-10616</v>
      </c>
      <c r="K31" s="15"/>
      <c r="L31" s="15">
        <v>-13668</v>
      </c>
      <c r="M31" s="4"/>
    </row>
    <row r="32" spans="1:26" ht="16.5" thickTop="1" x14ac:dyDescent="0.25">
      <c r="A32" s="16" t="s">
        <v>47</v>
      </c>
      <c r="B32" s="16"/>
      <c r="C32" s="33">
        <f>SUM(C30:C31)</f>
        <v>-33</v>
      </c>
      <c r="D32" s="33"/>
      <c r="E32" s="16">
        <f>SUM(E30:E31)</f>
        <v>1269</v>
      </c>
      <c r="F32" s="4"/>
      <c r="H32" s="17" t="s">
        <v>48</v>
      </c>
      <c r="I32" s="17"/>
      <c r="J32" s="16">
        <f>SUM(J30:J31)</f>
        <v>17575</v>
      </c>
      <c r="K32" s="16"/>
      <c r="L32" s="16">
        <v>28191</v>
      </c>
      <c r="M32" s="16"/>
    </row>
    <row r="33" spans="1:17" x14ac:dyDescent="0.25">
      <c r="E33" s="4"/>
      <c r="F33" s="4"/>
      <c r="H33" s="19"/>
      <c r="I33" s="19"/>
      <c r="J33" s="18"/>
      <c r="K33" s="18"/>
      <c r="L33" s="18"/>
      <c r="M33" s="18"/>
    </row>
    <row r="34" spans="1:17" x14ac:dyDescent="0.25">
      <c r="A34" s="9" t="s">
        <v>49</v>
      </c>
      <c r="B34" s="9"/>
      <c r="C34" s="10"/>
      <c r="D34" s="10"/>
      <c r="E34" s="13"/>
      <c r="F34" s="4"/>
      <c r="H34" s="11" t="s">
        <v>50</v>
      </c>
      <c r="I34" s="11"/>
      <c r="J34" s="9"/>
      <c r="K34" s="9"/>
      <c r="L34" s="13"/>
      <c r="M34" s="13"/>
    </row>
    <row r="35" spans="1:17" ht="16.5" thickBot="1" x14ac:dyDescent="0.3">
      <c r="A35" s="2" t="s">
        <v>53</v>
      </c>
      <c r="C35" s="42">
        <v>-60418</v>
      </c>
      <c r="E35" s="42">
        <v>-48168</v>
      </c>
      <c r="F35" s="4"/>
      <c r="H35" s="2" t="s">
        <v>52</v>
      </c>
      <c r="J35" s="4">
        <v>0</v>
      </c>
      <c r="L35" s="4">
        <v>0</v>
      </c>
      <c r="M35" s="4"/>
    </row>
    <row r="36" spans="1:17" ht="16.5" thickTop="1" x14ac:dyDescent="0.25">
      <c r="A36" s="17" t="s">
        <v>55</v>
      </c>
      <c r="B36" s="17"/>
      <c r="C36" s="33">
        <f>+C35</f>
        <v>-60418</v>
      </c>
      <c r="D36" s="34"/>
      <c r="E36" s="16">
        <v>-48168</v>
      </c>
      <c r="F36" s="4"/>
      <c r="H36" s="2" t="s">
        <v>54</v>
      </c>
      <c r="I36" s="2" t="s">
        <v>94</v>
      </c>
      <c r="J36" s="44">
        <v>30030</v>
      </c>
      <c r="L36" s="44">
        <v>25065</v>
      </c>
      <c r="M36" s="4"/>
    </row>
    <row r="37" spans="1:17" x14ac:dyDescent="0.25">
      <c r="E37" s="4"/>
      <c r="F37" s="4"/>
      <c r="H37" s="17" t="s">
        <v>56</v>
      </c>
      <c r="I37" s="17"/>
      <c r="J37" s="16">
        <f t="shared" ref="J37" si="0">SUM(J35:J36)</f>
        <v>30030</v>
      </c>
      <c r="K37" s="16"/>
      <c r="L37" s="16">
        <v>25065</v>
      </c>
      <c r="M37" s="16"/>
    </row>
    <row r="38" spans="1:17" x14ac:dyDescent="0.25">
      <c r="A38" s="19" t="s">
        <v>57</v>
      </c>
      <c r="B38" s="19"/>
      <c r="C38" s="32">
        <v>0</v>
      </c>
      <c r="E38" s="32">
        <v>0</v>
      </c>
      <c r="F38" s="4"/>
    </row>
    <row r="39" spans="1:17" x14ac:dyDescent="0.25">
      <c r="E39" s="4"/>
      <c r="F39" s="4"/>
      <c r="L39" s="4"/>
      <c r="M39" s="4"/>
    </row>
    <row r="40" spans="1:17" ht="18.75" x14ac:dyDescent="0.3">
      <c r="A40" s="20" t="s">
        <v>46</v>
      </c>
      <c r="B40" s="20"/>
      <c r="C40" s="16">
        <f>+C38+C36+C32+C27+C25+C9</f>
        <v>-10616</v>
      </c>
      <c r="D40" s="16"/>
      <c r="E40" s="16">
        <f>+E38+E36+E32+E27+E25+E9</f>
        <v>-13668</v>
      </c>
      <c r="F40" s="4"/>
    </row>
    <row r="41" spans="1:17" ht="18.75" x14ac:dyDescent="0.3">
      <c r="F41" s="4"/>
      <c r="H41" s="20" t="s">
        <v>58</v>
      </c>
      <c r="I41" s="20"/>
      <c r="J41" s="16">
        <f>J25+J32+J37</f>
        <v>10127605</v>
      </c>
      <c r="K41" s="16"/>
      <c r="L41" s="16">
        <v>10133256</v>
      </c>
      <c r="M41" s="21"/>
    </row>
    <row r="42" spans="1:17" x14ac:dyDescent="0.25">
      <c r="F42" s="4"/>
      <c r="Q42" s="22"/>
    </row>
    <row r="43" spans="1:17" x14ac:dyDescent="0.25">
      <c r="F43" s="4"/>
      <c r="J43" s="2">
        <f t="shared" ref="J43" si="1">+J17-J41</f>
        <v>0</v>
      </c>
      <c r="K43" s="2"/>
      <c r="L43" s="2">
        <v>0</v>
      </c>
    </row>
    <row r="44" spans="1:17" x14ac:dyDescent="0.25">
      <c r="F44" s="18"/>
      <c r="N44" s="14"/>
    </row>
    <row r="47" spans="1:17" x14ac:dyDescent="0.25">
      <c r="A47" s="14"/>
      <c r="B47" s="14"/>
      <c r="D47" s="28"/>
      <c r="E47" s="14"/>
    </row>
    <row r="48" spans="1:17" x14ac:dyDescent="0.25">
      <c r="A48" s="14"/>
      <c r="B48" s="14"/>
      <c r="D48" s="28"/>
      <c r="E48" s="14"/>
      <c r="G48" s="14"/>
    </row>
    <row r="49" spans="1:7" x14ac:dyDescent="0.25">
      <c r="A49" s="14"/>
      <c r="B49" s="14"/>
      <c r="D49" s="28"/>
      <c r="E49" s="14"/>
      <c r="G49" s="14"/>
    </row>
    <row r="50" spans="1:7" x14ac:dyDescent="0.25">
      <c r="A50" s="14"/>
      <c r="B50" s="14"/>
      <c r="D50" s="28"/>
      <c r="E50" s="14"/>
      <c r="G50" s="14"/>
    </row>
    <row r="51" spans="1:7" x14ac:dyDescent="0.25">
      <c r="F51" s="14"/>
      <c r="G51" s="14"/>
    </row>
    <row r="52" spans="1:7" x14ac:dyDescent="0.25">
      <c r="F52" s="14"/>
    </row>
    <row r="53" spans="1:7" x14ac:dyDescent="0.25">
      <c r="F53" s="14"/>
    </row>
    <row r="54" spans="1:7" x14ac:dyDescent="0.25">
      <c r="F54" s="14"/>
    </row>
  </sheetData>
  <pageMargins left="0.7" right="0.7" top="0.75" bottom="0.75" header="0.3" footer="0.3"/>
  <pageSetup paperSize="9" scale="80" orientation="portrait" horizontalDpi="4294967293" r:id="rId1"/>
  <colBreaks count="2" manualBreakCount="2">
    <brk id="7" max="44" man="1"/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7" sqref="G7"/>
    </sheetView>
  </sheetViews>
  <sheetFormatPr defaultRowHeight="15.75" x14ac:dyDescent="0.25"/>
  <cols>
    <col min="1" max="1" width="7.42578125" style="46" customWidth="1"/>
    <col min="2" max="2" width="26.28515625" customWidth="1"/>
    <col min="3" max="3" width="6.7109375" customWidth="1"/>
    <col min="4" max="4" width="8.5703125" customWidth="1"/>
    <col min="5" max="5" width="10.7109375" customWidth="1"/>
    <col min="6" max="7" width="13" bestFit="1" customWidth="1"/>
    <col min="8" max="8" width="6.5703125" customWidth="1"/>
    <col min="10" max="10" width="9.28515625" customWidth="1"/>
    <col min="11" max="11" width="9.140625" customWidth="1"/>
    <col min="12" max="12" width="8.5703125" customWidth="1"/>
    <col min="13" max="13" width="10.7109375" bestFit="1" customWidth="1"/>
    <col min="14" max="14" width="9.5703125" bestFit="1" customWidth="1"/>
    <col min="17" max="22" width="0" hidden="1" customWidth="1"/>
  </cols>
  <sheetData>
    <row r="1" spans="1:21" ht="21" x14ac:dyDescent="0.35">
      <c r="A1" s="45" t="s">
        <v>118</v>
      </c>
    </row>
    <row r="2" spans="1:21" x14ac:dyDescent="0.25">
      <c r="A2" s="46" t="s">
        <v>63</v>
      </c>
      <c r="B2" s="18" t="s">
        <v>64</v>
      </c>
    </row>
    <row r="3" spans="1:21" x14ac:dyDescent="0.25">
      <c r="B3" s="223" t="s">
        <v>65</v>
      </c>
      <c r="C3" s="223"/>
      <c r="D3" s="223"/>
      <c r="E3" s="223"/>
      <c r="F3" s="223"/>
      <c r="G3" s="223"/>
      <c r="H3" s="47"/>
    </row>
    <row r="4" spans="1:21" x14ac:dyDescent="0.25">
      <c r="B4" s="224"/>
      <c r="C4" s="224"/>
      <c r="D4" s="224"/>
      <c r="E4" s="224"/>
      <c r="F4" s="224"/>
      <c r="G4" s="224"/>
    </row>
    <row r="5" spans="1:21" ht="16.5" thickBot="1" x14ac:dyDescent="0.3">
      <c r="A5" s="46" t="s">
        <v>66</v>
      </c>
      <c r="B5" s="46" t="s">
        <v>67</v>
      </c>
      <c r="F5" s="48"/>
    </row>
    <row r="6" spans="1:21" x14ac:dyDescent="0.25">
      <c r="B6" s="14" t="s">
        <v>68</v>
      </c>
      <c r="C6" s="49"/>
      <c r="D6" s="49"/>
      <c r="E6" s="49"/>
      <c r="F6" s="49"/>
      <c r="G6" s="14">
        <v>10078760</v>
      </c>
      <c r="J6" s="50" t="s">
        <v>62</v>
      </c>
      <c r="K6" s="51"/>
      <c r="L6" s="52" t="s">
        <v>69</v>
      </c>
      <c r="M6" s="53"/>
      <c r="N6" s="53"/>
      <c r="O6" s="225" t="s">
        <v>70</v>
      </c>
      <c r="Q6" s="73" t="s">
        <v>80</v>
      </c>
      <c r="R6" s="74"/>
      <c r="S6" s="74"/>
      <c r="T6" s="74"/>
      <c r="U6" s="75"/>
    </row>
    <row r="7" spans="1:21" x14ac:dyDescent="0.25">
      <c r="B7" s="14" t="s">
        <v>71</v>
      </c>
      <c r="C7" s="54">
        <f>+G7/G6</f>
        <v>0.84699992856264061</v>
      </c>
      <c r="D7" s="49" t="s">
        <v>72</v>
      </c>
      <c r="E7" s="55"/>
      <c r="F7" s="49"/>
      <c r="G7" s="14">
        <v>8536709</v>
      </c>
      <c r="J7" s="56"/>
      <c r="K7" s="57"/>
      <c r="L7" s="58" t="s">
        <v>73</v>
      </c>
      <c r="M7" s="59" t="s">
        <v>74</v>
      </c>
      <c r="N7" s="59" t="s">
        <v>75</v>
      </c>
      <c r="O7" s="226"/>
      <c r="Q7" s="76" t="s">
        <v>81</v>
      </c>
      <c r="R7" s="77"/>
      <c r="S7" s="78"/>
    </row>
    <row r="8" spans="1:21" x14ac:dyDescent="0.25">
      <c r="B8" s="14" t="s">
        <v>76</v>
      </c>
      <c r="C8" s="49"/>
      <c r="D8" s="49"/>
      <c r="E8" s="49"/>
      <c r="F8" s="49"/>
      <c r="G8" s="14">
        <v>60681</v>
      </c>
      <c r="H8" s="14"/>
      <c r="J8" s="60" t="s">
        <v>77</v>
      </c>
      <c r="K8" s="61"/>
      <c r="L8" s="62">
        <v>5</v>
      </c>
      <c r="M8" s="62">
        <v>403334</v>
      </c>
      <c r="N8" s="62">
        <f>+L8*M8</f>
        <v>2016670</v>
      </c>
      <c r="O8" s="63"/>
      <c r="Q8" s="79" t="s">
        <v>83</v>
      </c>
      <c r="R8" s="80" t="s">
        <v>84</v>
      </c>
      <c r="S8" s="80" t="s">
        <v>85</v>
      </c>
    </row>
    <row r="9" spans="1:21" ht="16.5" thickBot="1" x14ac:dyDescent="0.3">
      <c r="B9" s="14" t="s">
        <v>121</v>
      </c>
      <c r="C9" s="49"/>
      <c r="D9" s="49"/>
      <c r="E9" s="49"/>
      <c r="F9" s="49"/>
      <c r="G9" s="14">
        <v>367500</v>
      </c>
      <c r="H9" s="64"/>
      <c r="J9" s="65" t="s">
        <v>78</v>
      </c>
      <c r="K9" s="66"/>
      <c r="L9" s="67">
        <v>5</v>
      </c>
      <c r="M9" s="67">
        <v>605</v>
      </c>
      <c r="N9" s="68">
        <f>+M9*L9</f>
        <v>3025</v>
      </c>
      <c r="O9" s="69">
        <f>+G11*0.0015</f>
        <v>7128</v>
      </c>
      <c r="Q9" s="83">
        <f>-(T17*G8+T18*G7)</f>
        <v>-173768.22999999998</v>
      </c>
      <c r="R9" s="84">
        <f>-(T17*G8+T19*G7)</f>
        <v>-88401.14</v>
      </c>
      <c r="S9" s="84">
        <f>-(T17*G8+T20*G7)</f>
        <v>-45717.595000000001</v>
      </c>
    </row>
    <row r="10" spans="1:21" x14ac:dyDescent="0.25">
      <c r="H10" s="14"/>
    </row>
    <row r="11" spans="1:21" x14ac:dyDescent="0.25">
      <c r="B11" s="14" t="s">
        <v>79</v>
      </c>
      <c r="C11" s="49"/>
      <c r="D11" s="49"/>
      <c r="E11" s="49"/>
      <c r="F11" s="49"/>
      <c r="G11" s="14">
        <v>4752000</v>
      </c>
      <c r="H11" s="28"/>
    </row>
    <row r="12" spans="1:21" x14ac:dyDescent="0.25">
      <c r="B12" s="70" t="s">
        <v>114</v>
      </c>
      <c r="C12" s="49"/>
      <c r="D12" s="49"/>
      <c r="E12" s="49"/>
      <c r="F12" s="49"/>
      <c r="G12" s="14">
        <v>4027000</v>
      </c>
      <c r="H12" s="14"/>
      <c r="I12" s="2"/>
    </row>
    <row r="13" spans="1:21" x14ac:dyDescent="0.25">
      <c r="B13" s="71"/>
      <c r="F13" s="2"/>
      <c r="G13" s="2"/>
      <c r="H13" s="14"/>
      <c r="J13" s="73" t="s">
        <v>80</v>
      </c>
      <c r="K13" s="74"/>
      <c r="L13" s="74"/>
      <c r="M13" s="74"/>
      <c r="N13" s="75"/>
    </row>
    <row r="14" spans="1:21" x14ac:dyDescent="0.25">
      <c r="B14" s="18" t="s">
        <v>49</v>
      </c>
      <c r="F14" s="72" t="s">
        <v>130</v>
      </c>
      <c r="G14" s="72" t="s">
        <v>123</v>
      </c>
      <c r="H14" s="14"/>
      <c r="J14" s="76" t="s">
        <v>81</v>
      </c>
      <c r="K14" s="77"/>
      <c r="L14" s="78"/>
    </row>
    <row r="15" spans="1:21" x14ac:dyDescent="0.25">
      <c r="B15" s="14" t="s">
        <v>71</v>
      </c>
      <c r="C15" s="49"/>
      <c r="D15" s="49"/>
      <c r="E15" s="49"/>
      <c r="F15" s="14">
        <v>8964890</v>
      </c>
      <c r="G15" s="14">
        <v>8964890</v>
      </c>
      <c r="H15" s="14"/>
      <c r="J15" s="79" t="s">
        <v>83</v>
      </c>
      <c r="K15" s="80" t="s">
        <v>84</v>
      </c>
      <c r="L15" s="80" t="s">
        <v>85</v>
      </c>
    </row>
    <row r="16" spans="1:21" x14ac:dyDescent="0.25">
      <c r="B16" s="14" t="s">
        <v>82</v>
      </c>
      <c r="C16" s="49"/>
      <c r="D16" s="49"/>
      <c r="E16" s="49"/>
      <c r="F16" s="14">
        <f>G16+G17</f>
        <v>-401775</v>
      </c>
      <c r="G16" s="14">
        <v>-353607</v>
      </c>
      <c r="J16" s="83">
        <f>-(M24*G8+M26*G7)</f>
        <v>-173768.22999999998</v>
      </c>
      <c r="K16" s="84">
        <f>-(M24*G8+M27*G7)</f>
        <v>-88401.14</v>
      </c>
      <c r="L16" s="84">
        <f>-(M24*G8+M28*G7+G9*M25)</f>
        <v>-60417.595000000001</v>
      </c>
      <c r="Q16" s="58" t="s">
        <v>90</v>
      </c>
      <c r="R16" s="88"/>
      <c r="S16" s="59" t="s">
        <v>91</v>
      </c>
      <c r="T16" s="89" t="s">
        <v>92</v>
      </c>
    </row>
    <row r="17" spans="1:20" ht="16.5" thickBot="1" x14ac:dyDescent="0.3">
      <c r="B17" s="14" t="s">
        <v>86</v>
      </c>
      <c r="C17" s="49"/>
      <c r="D17" s="49"/>
      <c r="E17" s="49"/>
      <c r="F17" s="81">
        <f>+L16</f>
        <v>-60417.595000000001</v>
      </c>
      <c r="G17" s="81">
        <v>-48168</v>
      </c>
      <c r="Q17" s="90" t="s">
        <v>93</v>
      </c>
      <c r="R17" s="90"/>
      <c r="S17" s="90">
        <v>20</v>
      </c>
      <c r="T17" s="91">
        <f>1/S17</f>
        <v>0.05</v>
      </c>
    </row>
    <row r="18" spans="1:20" ht="16.5" thickTop="1" x14ac:dyDescent="0.25">
      <c r="B18" s="2"/>
      <c r="E18" s="85" t="s">
        <v>87</v>
      </c>
      <c r="F18" s="86">
        <f>SUM(F15:F17)</f>
        <v>8502697.4049999993</v>
      </c>
      <c r="G18" s="86">
        <f>SUM(G15:G17)</f>
        <v>8563115</v>
      </c>
      <c r="H18" s="47"/>
      <c r="Q18" s="90" t="s">
        <v>96</v>
      </c>
      <c r="R18" s="90"/>
      <c r="S18" s="90">
        <v>50</v>
      </c>
      <c r="T18" s="92">
        <f>1/S18</f>
        <v>0.02</v>
      </c>
    </row>
    <row r="19" spans="1:20" x14ac:dyDescent="0.25">
      <c r="B19" s="14"/>
      <c r="D19" s="14"/>
      <c r="E19" s="14"/>
      <c r="F19" s="14"/>
      <c r="G19" s="14"/>
      <c r="Q19" s="90" t="s">
        <v>96</v>
      </c>
      <c r="R19" s="90"/>
      <c r="S19" s="90">
        <v>100</v>
      </c>
      <c r="T19" s="92">
        <f>1/S19</f>
        <v>0.01</v>
      </c>
    </row>
    <row r="20" spans="1:20" x14ac:dyDescent="0.25">
      <c r="A20" s="46" t="s">
        <v>88</v>
      </c>
      <c r="B20" s="18" t="s">
        <v>14</v>
      </c>
      <c r="F20" s="87"/>
      <c r="G20" s="87"/>
      <c r="Q20" s="90" t="s">
        <v>96</v>
      </c>
      <c r="R20" s="90"/>
      <c r="S20" s="90">
        <v>200</v>
      </c>
      <c r="T20" s="92">
        <f>1/S20</f>
        <v>5.0000000000000001E-3</v>
      </c>
    </row>
    <row r="21" spans="1:20" x14ac:dyDescent="0.25">
      <c r="B21" s="227" t="s">
        <v>89</v>
      </c>
      <c r="C21" s="228"/>
      <c r="D21" s="228"/>
      <c r="E21" s="228"/>
      <c r="F21" s="14">
        <f>+G6-G7</f>
        <v>1542051</v>
      </c>
      <c r="G21" s="14">
        <v>1542051</v>
      </c>
    </row>
    <row r="22" spans="1:20" x14ac:dyDescent="0.25">
      <c r="B22" s="94"/>
      <c r="C22" s="95"/>
      <c r="D22" s="95"/>
      <c r="E22" s="95"/>
      <c r="F22" s="14"/>
      <c r="G22" s="14"/>
    </row>
    <row r="23" spans="1:20" x14ac:dyDescent="0.25">
      <c r="A23" s="46" t="s">
        <v>94</v>
      </c>
      <c r="B23" s="46" t="s">
        <v>95</v>
      </c>
      <c r="J23" s="58" t="s">
        <v>90</v>
      </c>
      <c r="K23" s="88"/>
      <c r="L23" s="59" t="s">
        <v>91</v>
      </c>
      <c r="M23" s="89" t="s">
        <v>92</v>
      </c>
    </row>
    <row r="24" spans="1:20" x14ac:dyDescent="0.25">
      <c r="B24" s="49" t="s">
        <v>97</v>
      </c>
      <c r="C24" s="49"/>
      <c r="D24" s="49"/>
      <c r="E24" s="49"/>
      <c r="F24" s="14">
        <v>11585</v>
      </c>
      <c r="G24" s="14">
        <v>11585</v>
      </c>
      <c r="J24" s="90" t="s">
        <v>93</v>
      </c>
      <c r="K24" s="90"/>
      <c r="L24" s="90">
        <v>20</v>
      </c>
      <c r="M24" s="92">
        <f>1/L24</f>
        <v>0.05</v>
      </c>
    </row>
    <row r="25" spans="1:20" x14ac:dyDescent="0.25">
      <c r="B25" s="49" t="s">
        <v>98</v>
      </c>
      <c r="C25" s="49"/>
      <c r="D25" s="49"/>
      <c r="E25" s="49"/>
      <c r="F25" s="14">
        <f>1302+4874+4806</f>
        <v>10982</v>
      </c>
      <c r="G25" s="14">
        <f>13480-3073</f>
        <v>10407</v>
      </c>
      <c r="J25" s="97" t="s">
        <v>128</v>
      </c>
      <c r="K25" s="98"/>
      <c r="L25" s="99">
        <v>25</v>
      </c>
      <c r="M25" s="92">
        <v>0.04</v>
      </c>
      <c r="N25" t="s">
        <v>129</v>
      </c>
    </row>
    <row r="26" spans="1:20" x14ac:dyDescent="0.25">
      <c r="B26" s="49" t="s">
        <v>138</v>
      </c>
      <c r="C26" s="49"/>
      <c r="D26" s="49"/>
      <c r="E26" s="49"/>
      <c r="F26" s="14">
        <v>3138</v>
      </c>
      <c r="G26" s="14">
        <v>3073</v>
      </c>
      <c r="J26" s="90" t="s">
        <v>96</v>
      </c>
      <c r="K26" s="90"/>
      <c r="L26" s="90">
        <v>50</v>
      </c>
      <c r="M26" s="92">
        <f>1/L26</f>
        <v>0.02</v>
      </c>
    </row>
    <row r="27" spans="1:20" x14ac:dyDescent="0.25">
      <c r="B27" s="49" t="s">
        <v>136</v>
      </c>
      <c r="C27" s="49"/>
      <c r="D27" s="49"/>
      <c r="E27" s="49"/>
      <c r="F27" s="14">
        <v>1125</v>
      </c>
      <c r="G27" s="14"/>
      <c r="J27" s="90" t="s">
        <v>96</v>
      </c>
      <c r="K27" s="90"/>
      <c r="L27" s="90">
        <v>100</v>
      </c>
      <c r="M27" s="92">
        <f>1/L27</f>
        <v>0.01</v>
      </c>
    </row>
    <row r="28" spans="1:20" x14ac:dyDescent="0.25">
      <c r="B28" s="49" t="s">
        <v>137</v>
      </c>
      <c r="C28" s="49"/>
      <c r="D28" s="49"/>
      <c r="E28" s="49"/>
      <c r="F28" s="14">
        <v>3200</v>
      </c>
      <c r="G28" s="14"/>
      <c r="J28" s="90" t="s">
        <v>96</v>
      </c>
      <c r="K28" s="90"/>
      <c r="L28" s="90">
        <v>200</v>
      </c>
      <c r="M28" s="92">
        <f>1/L28</f>
        <v>5.0000000000000001E-3</v>
      </c>
    </row>
    <row r="29" spans="1:20" ht="16.5" thickBot="1" x14ac:dyDescent="0.3">
      <c r="E29" s="85" t="s">
        <v>99</v>
      </c>
      <c r="F29" s="101">
        <f>SUM(F24:F28)</f>
        <v>30030</v>
      </c>
      <c r="G29" s="101">
        <f>SUM(G24:G28)</f>
        <v>25065</v>
      </c>
      <c r="M29" s="100"/>
    </row>
    <row r="30" spans="1:20" ht="16.5" thickTop="1" x14ac:dyDescent="0.25"/>
    <row r="31" spans="1:20" x14ac:dyDescent="0.25">
      <c r="A31" s="46" t="s">
        <v>100</v>
      </c>
      <c r="B31" s="46" t="s">
        <v>38</v>
      </c>
      <c r="F31" s="87"/>
      <c r="G31" s="87"/>
    </row>
    <row r="32" spans="1:20" x14ac:dyDescent="0.25">
      <c r="B32" s="49" t="s">
        <v>112</v>
      </c>
      <c r="C32" s="49"/>
      <c r="D32" s="49"/>
      <c r="E32" s="49"/>
      <c r="F32" s="14">
        <v>10080000</v>
      </c>
      <c r="G32" s="14">
        <v>10080000</v>
      </c>
    </row>
  </sheetData>
  <mergeCells count="3">
    <mergeCell ref="B3:G4"/>
    <mergeCell ref="O6:O7"/>
    <mergeCell ref="B21:E2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RR BR 2023</vt:lpstr>
      <vt:lpstr>Kassaflöde 2023</vt:lpstr>
      <vt:lpstr>NOTER 2023</vt:lpstr>
      <vt:lpstr>Spec BR 2023</vt:lpstr>
      <vt:lpstr>Budget 2024</vt:lpstr>
      <vt:lpstr>RR o BR 2017</vt:lpstr>
      <vt:lpstr>NOTER 2017</vt:lpstr>
      <vt:lpstr>RR o BR 2016</vt:lpstr>
      <vt:lpstr>NOTER 2016</vt:lpstr>
      <vt:lpstr>RR o BR 2015</vt:lpstr>
      <vt:lpstr>NOTER 2015</vt:lpstr>
      <vt:lpstr>RR o BR 2014</vt:lpstr>
      <vt:lpstr>NOTER 2014</vt:lpstr>
      <vt:lpstr>Ver Avskrivning byggnad</vt:lpstr>
      <vt:lpstr>Ver Avskrivning inventarier</vt:lpstr>
      <vt:lpstr>Ombo resultat</vt:lpstr>
      <vt:lpstr>'RR BR 2023'!Print_Area</vt:lpstr>
      <vt:lpstr>'RR o BR 2015'!Print_Area</vt:lpstr>
      <vt:lpstr>'RR o BR 2016'!Print_Area</vt:lpstr>
      <vt:lpstr>'RR o BR 2017'!Print_Area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Linus Wiberg</cp:lastModifiedBy>
  <cp:lastPrinted>2024-02-07T12:46:42Z</cp:lastPrinted>
  <dcterms:created xsi:type="dcterms:W3CDTF">2015-02-12T23:17:22Z</dcterms:created>
  <dcterms:modified xsi:type="dcterms:W3CDTF">2024-09-24T11:49:39Z</dcterms:modified>
</cp:coreProperties>
</file>